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9030" firstSheet="1" activeTab="4"/>
  </bookViews>
  <sheets>
    <sheet name="Enterprise and Employability" sheetId="2" r:id="rId1"/>
    <sheet name="Global Citizenship" sheetId="3" r:id="rId2"/>
    <sheet name="Community Challenge" sheetId="4" r:id="rId3"/>
    <sheet name="Individual Project" sheetId="1" r:id="rId4"/>
    <sheet name="Student Summary" sheetId="5" r:id="rId5"/>
  </sheets>
  <definedNames>
    <definedName name="Band">'Global Citizenship'!$AB$3:$AB$7</definedName>
    <definedName name="Community_Challenge">'Community Challenge'!$A$3:$L$30</definedName>
    <definedName name="Enterprise_Employability">'Enterprise and Employability'!$A$3:$R$30</definedName>
    <definedName name="Global_Citizenship">'Global Citizenship'!$A$3:$M$30</definedName>
    <definedName name="Individual_Project">'Individual Project'!$A$3:$AA$30</definedName>
    <definedName name="Mark">'Global Citizenship'!$AD$4:$AD$15</definedName>
    <definedName name="Name">'Student Summary'!$A$3:$B$30</definedName>
    <definedName name="Names">'Individual Project'!$A$3:$B$30</definedName>
  </definedNames>
  <calcPr calcId="145621"/>
</workbook>
</file>

<file path=xl/calcChain.xml><?xml version="1.0" encoding="utf-8"?>
<calcChain xmlns="http://schemas.openxmlformats.org/spreadsheetml/2006/main">
  <c r="AC30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4" i="1"/>
  <c r="N27" i="4" l="1"/>
  <c r="N27" i="5" s="1"/>
  <c r="O27" i="5" s="1"/>
  <c r="N28" i="4"/>
  <c r="N29" i="4"/>
  <c r="N30" i="4"/>
  <c r="N5" i="4"/>
  <c r="N6" i="4"/>
  <c r="N7" i="4"/>
  <c r="N8" i="4"/>
  <c r="N9" i="4"/>
  <c r="N10" i="4"/>
  <c r="N11" i="4"/>
  <c r="N11" i="5" s="1"/>
  <c r="O11" i="5" s="1"/>
  <c r="N12" i="4"/>
  <c r="N13" i="4"/>
  <c r="N14" i="4"/>
  <c r="N15" i="4"/>
  <c r="N15" i="5" s="1"/>
  <c r="O15" i="5" s="1"/>
  <c r="N16" i="4"/>
  <c r="N17" i="4"/>
  <c r="N18" i="4"/>
  <c r="N19" i="4"/>
  <c r="N20" i="4"/>
  <c r="N21" i="4"/>
  <c r="N22" i="4"/>
  <c r="N23" i="4"/>
  <c r="N23" i="5" s="1"/>
  <c r="O23" i="5" s="1"/>
  <c r="N24" i="4"/>
  <c r="N25" i="4"/>
  <c r="N26" i="4"/>
  <c r="N26" i="5" s="1"/>
  <c r="O26" i="5" s="1"/>
  <c r="N4" i="4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5" i="3"/>
  <c r="O6" i="3"/>
  <c r="O7" i="3"/>
  <c r="O8" i="3"/>
  <c r="O9" i="3"/>
  <c r="O10" i="3"/>
  <c r="O4" i="3"/>
  <c r="N19" i="5"/>
  <c r="O19" i="5" s="1"/>
  <c r="T5" i="2"/>
  <c r="T6" i="2"/>
  <c r="T7" i="2"/>
  <c r="T8" i="2"/>
  <c r="N8" i="5" s="1"/>
  <c r="O8" i="5" s="1"/>
  <c r="T9" i="2"/>
  <c r="T10" i="2"/>
  <c r="T11" i="2"/>
  <c r="T12" i="2"/>
  <c r="N12" i="5" s="1"/>
  <c r="O12" i="5" s="1"/>
  <c r="T13" i="2"/>
  <c r="T14" i="2"/>
  <c r="T15" i="2"/>
  <c r="T16" i="2"/>
  <c r="N16" i="5" s="1"/>
  <c r="O16" i="5" s="1"/>
  <c r="T17" i="2"/>
  <c r="T18" i="2"/>
  <c r="T19" i="2"/>
  <c r="T20" i="2"/>
  <c r="N20" i="5" s="1"/>
  <c r="O20" i="5" s="1"/>
  <c r="T21" i="2"/>
  <c r="T22" i="2"/>
  <c r="T23" i="2"/>
  <c r="T24" i="2"/>
  <c r="N24" i="5" s="1"/>
  <c r="O24" i="5" s="1"/>
  <c r="T25" i="2"/>
  <c r="T26" i="2"/>
  <c r="T27" i="2"/>
  <c r="T28" i="2"/>
  <c r="T29" i="2"/>
  <c r="T30" i="2"/>
  <c r="N10" i="5"/>
  <c r="O10" i="5" s="1"/>
  <c r="N14" i="5"/>
  <c r="O14" i="5" s="1"/>
  <c r="N18" i="5"/>
  <c r="O18" i="5" s="1"/>
  <c r="N22" i="5"/>
  <c r="O22" i="5" s="1"/>
  <c r="N30" i="5"/>
  <c r="O30" i="5" s="1"/>
  <c r="N28" i="5" l="1"/>
  <c r="O28" i="5" s="1"/>
  <c r="N7" i="5"/>
  <c r="O7" i="5" s="1"/>
  <c r="N6" i="5"/>
  <c r="O6" i="5" s="1"/>
  <c r="N29" i="5"/>
  <c r="O29" i="5" s="1"/>
  <c r="N25" i="5"/>
  <c r="O25" i="5" s="1"/>
  <c r="N21" i="5"/>
  <c r="O21" i="5" s="1"/>
  <c r="N17" i="5"/>
  <c r="O17" i="5" s="1"/>
  <c r="N13" i="5"/>
  <c r="O13" i="5" s="1"/>
  <c r="N9" i="5"/>
  <c r="O9" i="5" s="1"/>
  <c r="N5" i="5"/>
  <c r="O5" i="5" s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5" i="2"/>
  <c r="E5" i="5" s="1"/>
  <c r="R6" i="2"/>
  <c r="E6" i="5" s="1"/>
  <c r="R7" i="2"/>
  <c r="E7" i="5" s="1"/>
  <c r="R8" i="2"/>
  <c r="R9" i="2"/>
  <c r="R10" i="2"/>
  <c r="R11" i="2"/>
  <c r="E8" i="5"/>
  <c r="G20" i="5"/>
  <c r="G21" i="5"/>
  <c r="G22" i="5"/>
  <c r="G23" i="5"/>
  <c r="G24" i="5"/>
  <c r="G25" i="5"/>
  <c r="G26" i="5"/>
  <c r="G27" i="5"/>
  <c r="G28" i="5"/>
  <c r="G29" i="5"/>
  <c r="G30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C4" i="5" l="1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9" i="5"/>
  <c r="E10" i="5"/>
  <c r="E11" i="5"/>
  <c r="E12" i="5"/>
  <c r="C15" i="5"/>
  <c r="S28" i="2" l="1"/>
  <c r="S27" i="2"/>
  <c r="S22" i="2"/>
  <c r="S18" i="2"/>
  <c r="S16" i="2"/>
  <c r="S14" i="2"/>
  <c r="S11" i="2"/>
  <c r="S10" i="2"/>
  <c r="S6" i="2"/>
  <c r="S17" i="2"/>
  <c r="S19" i="2"/>
  <c r="S21" i="2"/>
  <c r="S25" i="2"/>
  <c r="S26" i="2"/>
  <c r="S9" i="2"/>
  <c r="S23" i="2"/>
  <c r="S30" i="2"/>
  <c r="S5" i="2"/>
  <c r="S13" i="2"/>
  <c r="R4" i="2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S20" i="2"/>
  <c r="S24" i="2"/>
  <c r="S29" i="2"/>
  <c r="S7" i="2"/>
  <c r="S8" i="2"/>
  <c r="S12" i="2"/>
  <c r="S15" i="2"/>
  <c r="E4" i="5" l="1"/>
  <c r="T4" i="2"/>
  <c r="F18" i="5"/>
  <c r="F23" i="5"/>
  <c r="F6" i="5"/>
  <c r="F21" i="5"/>
  <c r="F10" i="5"/>
  <c r="F19" i="5"/>
  <c r="F14" i="5"/>
  <c r="F9" i="5"/>
  <c r="F12" i="5"/>
  <c r="AA4" i="1"/>
  <c r="AA5" i="1"/>
  <c r="C5" i="5" s="1"/>
  <c r="D5" i="5" s="1"/>
  <c r="AA6" i="1"/>
  <c r="C6" i="5" s="1"/>
  <c r="D6" i="5" s="1"/>
  <c r="AA7" i="1"/>
  <c r="C7" i="5" s="1"/>
  <c r="D7" i="5" s="1"/>
  <c r="AA8" i="1"/>
  <c r="C8" i="5" s="1"/>
  <c r="D8" i="5" s="1"/>
  <c r="AA9" i="1"/>
  <c r="C9" i="5" s="1"/>
  <c r="D9" i="5" s="1"/>
  <c r="AA10" i="1"/>
  <c r="C10" i="5" s="1"/>
  <c r="D10" i="5" s="1"/>
  <c r="AA11" i="1"/>
  <c r="C11" i="5" s="1"/>
  <c r="D11" i="5" s="1"/>
  <c r="AA12" i="1"/>
  <c r="C12" i="5" s="1"/>
  <c r="D12" i="5" s="1"/>
  <c r="AA13" i="1"/>
  <c r="C13" i="5" s="1"/>
  <c r="D13" i="5" s="1"/>
  <c r="AA14" i="1"/>
  <c r="C14" i="5" s="1"/>
  <c r="D14" i="5" s="1"/>
  <c r="AA15" i="1"/>
  <c r="D15" i="5" s="1"/>
  <c r="AA16" i="1"/>
  <c r="C16" i="5" s="1"/>
  <c r="D16" i="5" s="1"/>
  <c r="AA17" i="1"/>
  <c r="C17" i="5" s="1"/>
  <c r="D17" i="5" s="1"/>
  <c r="AA18" i="1"/>
  <c r="C18" i="5" s="1"/>
  <c r="D18" i="5" s="1"/>
  <c r="AA19" i="1"/>
  <c r="C19" i="5" s="1"/>
  <c r="D19" i="5" s="1"/>
  <c r="AA20" i="1"/>
  <c r="C20" i="5" s="1"/>
  <c r="D20" i="5" s="1"/>
  <c r="AA21" i="1"/>
  <c r="C21" i="5" s="1"/>
  <c r="D21" i="5" s="1"/>
  <c r="AA22" i="1"/>
  <c r="C22" i="5" s="1"/>
  <c r="D22" i="5" s="1"/>
  <c r="AA23" i="1"/>
  <c r="C23" i="5" s="1"/>
  <c r="D23" i="5" s="1"/>
  <c r="AA24" i="1"/>
  <c r="C24" i="5" s="1"/>
  <c r="D24" i="5" s="1"/>
  <c r="AA25" i="1"/>
  <c r="C25" i="5" s="1"/>
  <c r="D25" i="5" s="1"/>
  <c r="AA26" i="1"/>
  <c r="C26" i="5" s="1"/>
  <c r="D26" i="5" s="1"/>
  <c r="AA27" i="1"/>
  <c r="C27" i="5" s="1"/>
  <c r="D27" i="5" s="1"/>
  <c r="AA28" i="1"/>
  <c r="C28" i="5" s="1"/>
  <c r="D28" i="5" s="1"/>
  <c r="AA29" i="1"/>
  <c r="C29" i="5" s="1"/>
  <c r="D29" i="5" s="1"/>
  <c r="AA30" i="1"/>
  <c r="C30" i="5" s="1"/>
  <c r="D30" i="5" s="1"/>
  <c r="F26" i="5"/>
  <c r="F24" i="5"/>
  <c r="F15" i="5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G5" i="5" s="1"/>
  <c r="M4" i="3"/>
  <c r="G4" i="5" s="1"/>
  <c r="F17" i="5" l="1"/>
  <c r="F30" i="5"/>
  <c r="F28" i="5"/>
  <c r="F7" i="5"/>
  <c r="F5" i="5"/>
  <c r="F13" i="5"/>
  <c r="F22" i="5"/>
  <c r="F11" i="5"/>
  <c r="F27" i="5"/>
  <c r="F25" i="5"/>
  <c r="F29" i="5"/>
  <c r="F8" i="5"/>
  <c r="F16" i="5"/>
  <c r="F20" i="5"/>
  <c r="N4" i="3"/>
  <c r="H8" i="5"/>
  <c r="H4" i="5" s="1"/>
  <c r="N8" i="3"/>
  <c r="H12" i="5"/>
  <c r="N12" i="3"/>
  <c r="H16" i="5"/>
  <c r="N16" i="3"/>
  <c r="H20" i="5"/>
  <c r="N20" i="3"/>
  <c r="H28" i="5"/>
  <c r="N28" i="3"/>
  <c r="H5" i="5"/>
  <c r="N5" i="3"/>
  <c r="H9" i="5"/>
  <c r="N9" i="3"/>
  <c r="H13" i="5"/>
  <c r="N13" i="3"/>
  <c r="H17" i="5"/>
  <c r="N17" i="3"/>
  <c r="H21" i="5"/>
  <c r="N21" i="3"/>
  <c r="H25" i="5"/>
  <c r="N25" i="3"/>
  <c r="H29" i="5"/>
  <c r="N29" i="3"/>
  <c r="H6" i="5"/>
  <c r="N6" i="3"/>
  <c r="H10" i="5"/>
  <c r="N10" i="3"/>
  <c r="H14" i="5"/>
  <c r="N14" i="3"/>
  <c r="H18" i="5"/>
  <c r="N18" i="3"/>
  <c r="H22" i="5"/>
  <c r="N22" i="3"/>
  <c r="H26" i="5"/>
  <c r="N26" i="3"/>
  <c r="H30" i="5"/>
  <c r="N30" i="3"/>
  <c r="H7" i="5"/>
  <c r="N7" i="3"/>
  <c r="H11" i="5"/>
  <c r="N11" i="3"/>
  <c r="H15" i="5"/>
  <c r="N15" i="3"/>
  <c r="H19" i="5"/>
  <c r="N19" i="3"/>
  <c r="H23" i="5"/>
  <c r="N23" i="3"/>
  <c r="H27" i="5"/>
  <c r="N27" i="3"/>
  <c r="H24" i="5"/>
  <c r="N24" i="3"/>
  <c r="AB4" i="1"/>
  <c r="D4" i="5"/>
  <c r="F4" i="5"/>
  <c r="S4" i="2"/>
  <c r="K12" i="5"/>
  <c r="L12" i="5" s="1"/>
  <c r="L22" i="4"/>
  <c r="L23" i="4"/>
  <c r="L24" i="4"/>
  <c r="L25" i="4"/>
  <c r="L26" i="4"/>
  <c r="L27" i="4"/>
  <c r="L28" i="4"/>
  <c r="L29" i="4"/>
  <c r="L30" i="4"/>
  <c r="L5" i="4"/>
  <c r="I5" i="5" s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4" i="4"/>
  <c r="I4" i="5" s="1"/>
  <c r="J18" i="5" l="1"/>
  <c r="M18" i="5" s="1"/>
  <c r="M18" i="4"/>
  <c r="M10" i="4"/>
  <c r="M28" i="4"/>
  <c r="M17" i="4"/>
  <c r="J9" i="5"/>
  <c r="M9" i="5" s="1"/>
  <c r="P9" i="5" s="1"/>
  <c r="M9" i="4"/>
  <c r="J27" i="5"/>
  <c r="M27" i="5" s="1"/>
  <c r="M27" i="4"/>
  <c r="M19" i="4"/>
  <c r="J15" i="5"/>
  <c r="M15" i="5" s="1"/>
  <c r="M15" i="4"/>
  <c r="M11" i="4"/>
  <c r="M7" i="4"/>
  <c r="J29" i="5"/>
  <c r="M29" i="5" s="1"/>
  <c r="M29" i="4"/>
  <c r="M25" i="4"/>
  <c r="J24" i="5"/>
  <c r="M24" i="5" s="1"/>
  <c r="M24" i="4"/>
  <c r="M23" i="4"/>
  <c r="M4" i="4"/>
  <c r="N4" i="5" s="1"/>
  <c r="O4" i="5" s="1"/>
  <c r="J14" i="5"/>
  <c r="M14" i="5" s="1"/>
  <c r="M14" i="4"/>
  <c r="M6" i="4"/>
  <c r="M21" i="4"/>
  <c r="J13" i="5"/>
  <c r="M13" i="5" s="1"/>
  <c r="P13" i="5" s="1"/>
  <c r="M13" i="4"/>
  <c r="M5" i="4"/>
  <c r="M20" i="4"/>
  <c r="J16" i="5"/>
  <c r="M16" i="5" s="1"/>
  <c r="M16" i="4"/>
  <c r="M12" i="4"/>
  <c r="M8" i="4"/>
  <c r="M30" i="4"/>
  <c r="J26" i="5"/>
  <c r="M26" i="5" s="1"/>
  <c r="M26" i="4"/>
  <c r="M22" i="4"/>
  <c r="K29" i="5"/>
  <c r="L29" i="5" s="1"/>
  <c r="K5" i="5"/>
  <c r="L5" i="5" s="1"/>
  <c r="K20" i="5"/>
  <c r="L20" i="5" s="1"/>
  <c r="K11" i="5"/>
  <c r="L11" i="5" s="1"/>
  <c r="K25" i="5"/>
  <c r="L25" i="5" s="1"/>
  <c r="K17" i="5"/>
  <c r="L17" i="5" s="1"/>
  <c r="K16" i="5"/>
  <c r="L16" i="5" s="1"/>
  <c r="K27" i="5"/>
  <c r="L27" i="5" s="1"/>
  <c r="K13" i="5"/>
  <c r="L13" i="5" s="1"/>
  <c r="K30" i="5"/>
  <c r="L30" i="5" s="1"/>
  <c r="K19" i="5"/>
  <c r="L19" i="5" s="1"/>
  <c r="K28" i="5"/>
  <c r="L28" i="5" s="1"/>
  <c r="K8" i="5"/>
  <c r="L8" i="5" s="1"/>
  <c r="K9" i="5"/>
  <c r="L9" i="5" s="1"/>
  <c r="K21" i="5"/>
  <c r="L21" i="5" s="1"/>
  <c r="K24" i="5"/>
  <c r="L24" i="5" s="1"/>
  <c r="K22" i="5"/>
  <c r="L22" i="5" s="1"/>
  <c r="K14" i="5"/>
  <c r="L14" i="5" s="1"/>
  <c r="K6" i="5"/>
  <c r="L6" i="5" s="1"/>
  <c r="K23" i="5"/>
  <c r="L23" i="5" s="1"/>
  <c r="K15" i="5"/>
  <c r="L15" i="5" s="1"/>
  <c r="K7" i="5"/>
  <c r="L7" i="5" s="1"/>
  <c r="K26" i="5"/>
  <c r="L26" i="5" s="1"/>
  <c r="K18" i="5"/>
  <c r="L18" i="5" s="1"/>
  <c r="K10" i="5"/>
  <c r="L10" i="5" s="1"/>
  <c r="J4" i="5"/>
  <c r="M4" i="5" s="1"/>
  <c r="P4" i="5" s="1"/>
  <c r="J10" i="5"/>
  <c r="M10" i="5" s="1"/>
  <c r="P10" i="5" s="1"/>
  <c r="J6" i="5"/>
  <c r="M6" i="5" s="1"/>
  <c r="P6" i="5" s="1"/>
  <c r="J28" i="5"/>
  <c r="M28" i="5" s="1"/>
  <c r="J21" i="5"/>
  <c r="M21" i="5" s="1"/>
  <c r="J17" i="5"/>
  <c r="M17" i="5" s="1"/>
  <c r="J5" i="5"/>
  <c r="M5" i="5" s="1"/>
  <c r="P5" i="5" s="1"/>
  <c r="J23" i="5"/>
  <c r="M23" i="5" s="1"/>
  <c r="J20" i="5"/>
  <c r="M20" i="5" s="1"/>
  <c r="J12" i="5"/>
  <c r="M12" i="5" s="1"/>
  <c r="P12" i="5" s="1"/>
  <c r="J8" i="5"/>
  <c r="M8" i="5" s="1"/>
  <c r="P8" i="5" s="1"/>
  <c r="J30" i="5"/>
  <c r="M30" i="5" s="1"/>
  <c r="J22" i="5"/>
  <c r="M22" i="5" s="1"/>
  <c r="J19" i="5"/>
  <c r="M19" i="5" s="1"/>
  <c r="J11" i="5"/>
  <c r="M11" i="5" s="1"/>
  <c r="P11" i="5" s="1"/>
  <c r="J7" i="5"/>
  <c r="M7" i="5" s="1"/>
  <c r="P7" i="5" s="1"/>
  <c r="J25" i="5"/>
  <c r="M25" i="5" s="1"/>
  <c r="K4" i="5"/>
  <c r="L4" i="5" s="1"/>
  <c r="B4" i="2"/>
  <c r="B4" i="4"/>
  <c r="A4" i="2"/>
  <c r="A5" i="5"/>
  <c r="A5" i="2"/>
  <c r="A5" i="3"/>
  <c r="A5" i="4"/>
  <c r="B5" i="5"/>
  <c r="B5" i="2"/>
  <c r="B5" i="4"/>
  <c r="B5" i="3"/>
  <c r="B6" i="5"/>
  <c r="B6" i="4"/>
  <c r="B6" i="3"/>
  <c r="B6" i="2"/>
  <c r="B7" i="4"/>
  <c r="B7" i="2"/>
  <c r="B7" i="3"/>
  <c r="B7" i="5"/>
  <c r="B8" i="2"/>
  <c r="B8" i="3"/>
  <c r="B8" i="5"/>
  <c r="B8" i="4"/>
  <c r="B11" i="4"/>
  <c r="B11" i="5"/>
  <c r="B9" i="5"/>
  <c r="B9" i="2"/>
  <c r="B10" i="4"/>
  <c r="B9" i="3"/>
  <c r="B10" i="2"/>
  <c r="B10" i="5"/>
  <c r="B10" i="3"/>
  <c r="B9" i="4"/>
  <c r="B12" i="2" l="1"/>
  <c r="B12" i="3"/>
  <c r="B12" i="4"/>
  <c r="B12" i="5"/>
  <c r="B11" i="3"/>
  <c r="B11" i="2"/>
  <c r="B13" i="2" l="1"/>
  <c r="B13" i="3"/>
  <c r="B13" i="4"/>
  <c r="B13" i="5"/>
  <c r="B14" i="2" l="1"/>
  <c r="B14" i="3"/>
  <c r="B14" i="4"/>
  <c r="B14" i="5"/>
  <c r="B15" i="2" l="1"/>
  <c r="B15" i="3"/>
  <c r="B15" i="4"/>
  <c r="B15" i="5"/>
  <c r="B16" i="2" l="1"/>
  <c r="B16" i="3"/>
  <c r="B16" i="4"/>
  <c r="B16" i="5"/>
  <c r="B17" i="2" l="1"/>
  <c r="B17" i="3"/>
  <c r="B17" i="4"/>
  <c r="B17" i="5"/>
  <c r="B18" i="2" l="1"/>
  <c r="B18" i="3"/>
  <c r="B18" i="4"/>
  <c r="B18" i="5"/>
  <c r="B19" i="2" l="1"/>
  <c r="B19" i="3"/>
  <c r="B19" i="4"/>
  <c r="B19" i="5"/>
  <c r="B20" i="2" l="1"/>
  <c r="B20" i="3"/>
  <c r="B20" i="4"/>
  <c r="B20" i="5"/>
  <c r="B21" i="2" l="1"/>
  <c r="B21" i="3"/>
  <c r="B21" i="4"/>
  <c r="B21" i="5"/>
  <c r="B22" i="2" l="1"/>
  <c r="B22" i="3"/>
  <c r="B22" i="4"/>
  <c r="B22" i="5"/>
  <c r="B23" i="2" l="1"/>
  <c r="B23" i="3"/>
  <c r="B23" i="4"/>
  <c r="B23" i="5"/>
  <c r="B24" i="2" l="1"/>
  <c r="B24" i="3"/>
  <c r="B24" i="4"/>
  <c r="B24" i="5"/>
  <c r="B25" i="2" l="1"/>
  <c r="B25" i="3"/>
  <c r="B25" i="4"/>
  <c r="B25" i="5"/>
  <c r="B26" i="2" l="1"/>
  <c r="B26" i="3"/>
  <c r="B26" i="4"/>
  <c r="B26" i="5"/>
  <c r="B27" i="2" l="1"/>
  <c r="B27" i="3"/>
  <c r="B27" i="4"/>
  <c r="B27" i="5"/>
  <c r="B28" i="2" l="1"/>
  <c r="B28" i="3"/>
  <c r="B28" i="4"/>
  <c r="B28" i="5"/>
  <c r="B29" i="2" l="1"/>
  <c r="B29" i="3"/>
  <c r="B29" i="4"/>
  <c r="B29" i="5"/>
  <c r="B30" i="2" l="1"/>
  <c r="B30" i="3"/>
  <c r="B30" i="4"/>
  <c r="B30" i="5"/>
  <c r="A30" i="3"/>
  <c r="A30" i="5"/>
  <c r="A30" i="2"/>
  <c r="A30" i="4"/>
  <c r="A29" i="2"/>
  <c r="A29" i="4"/>
  <c r="A29" i="5"/>
  <c r="A29" i="3"/>
  <c r="A28" i="2"/>
  <c r="A28" i="4"/>
  <c r="A28" i="5"/>
  <c r="A28" i="3"/>
  <c r="A27" i="3"/>
  <c r="A27" i="4"/>
  <c r="A27" i="2"/>
  <c r="A27" i="5"/>
  <c r="A26" i="5"/>
  <c r="A26" i="2"/>
  <c r="A26" i="3"/>
  <c r="A26" i="4"/>
  <c r="A25" i="4"/>
  <c r="A25" i="3"/>
  <c r="A25" i="5"/>
  <c r="A25" i="2"/>
  <c r="A24" i="5"/>
  <c r="A24" i="4"/>
  <c r="A24" i="3"/>
  <c r="A24" i="2"/>
  <c r="A23" i="5"/>
  <c r="A23" i="4"/>
  <c r="A23" i="2"/>
  <c r="A23" i="3"/>
  <c r="A22" i="4"/>
  <c r="A22" i="5"/>
  <c r="A22" i="3"/>
  <c r="A22" i="2"/>
  <c r="A21" i="2"/>
  <c r="A21" i="3"/>
  <c r="A21" i="5"/>
  <c r="A21" i="4"/>
  <c r="A20" i="3"/>
  <c r="A20" i="4"/>
  <c r="A20" i="2"/>
  <c r="A20" i="5"/>
  <c r="A19" i="4"/>
  <c r="A19" i="2"/>
  <c r="A19" i="3"/>
  <c r="A19" i="5"/>
  <c r="A18" i="4"/>
  <c r="A18" i="2"/>
  <c r="A18" i="3"/>
  <c r="A18" i="5"/>
  <c r="A17" i="2"/>
  <c r="A17" i="4"/>
  <c r="A17" i="5"/>
  <c r="A17" i="3"/>
  <c r="A16" i="3"/>
  <c r="A16" i="4"/>
  <c r="A16" i="2"/>
  <c r="A16" i="5"/>
  <c r="A15" i="5"/>
  <c r="A15" i="4"/>
  <c r="A15" i="3"/>
  <c r="A15" i="2"/>
  <c r="A14" i="5"/>
  <c r="A14" i="3"/>
  <c r="A14" i="4"/>
  <c r="A14" i="2"/>
  <c r="A13" i="3"/>
  <c r="A13" i="2"/>
  <c r="A13" i="5"/>
  <c r="A13" i="4"/>
  <c r="A12" i="5"/>
  <c r="A12" i="3"/>
  <c r="A12" i="4"/>
  <c r="A12" i="2"/>
  <c r="A11" i="5"/>
  <c r="A11" i="3"/>
  <c r="A11" i="4"/>
  <c r="A11" i="2"/>
  <c r="A10" i="2"/>
  <c r="A10" i="3"/>
  <c r="A10" i="5"/>
  <c r="A10" i="4"/>
  <c r="A9" i="3"/>
  <c r="A9" i="4"/>
  <c r="A9" i="2"/>
  <c r="A9" i="5"/>
  <c r="A8" i="3"/>
  <c r="A8" i="4"/>
  <c r="A8" i="2"/>
  <c r="A8" i="5"/>
  <c r="A7" i="4"/>
  <c r="A7" i="3"/>
  <c r="A7" i="2"/>
  <c r="A7" i="5"/>
  <c r="A6" i="2"/>
  <c r="A6" i="5"/>
  <c r="A6" i="3"/>
  <c r="A6" i="4"/>
</calcChain>
</file>

<file path=xl/sharedStrings.xml><?xml version="1.0" encoding="utf-8"?>
<sst xmlns="http://schemas.openxmlformats.org/spreadsheetml/2006/main" count="178" uniqueCount="99">
  <si>
    <t>Surname</t>
  </si>
  <si>
    <t>Forename</t>
  </si>
  <si>
    <t>LO2</t>
  </si>
  <si>
    <t>LO3</t>
  </si>
  <si>
    <t>Band</t>
  </si>
  <si>
    <t xml:space="preserve">Mark </t>
  </si>
  <si>
    <t>Total Mark</t>
  </si>
  <si>
    <t>James</t>
  </si>
  <si>
    <t>Student</t>
  </si>
  <si>
    <t>Minutes of Team Meetings</t>
  </si>
  <si>
    <t>LO1</t>
  </si>
  <si>
    <t>Evidence for Assessment</t>
  </si>
  <si>
    <t>LO4</t>
  </si>
  <si>
    <t>LO5</t>
  </si>
  <si>
    <t xml:space="preserve">Aggregated % (to account for weighting of components) </t>
  </si>
  <si>
    <t>Aggregated score/204</t>
  </si>
  <si>
    <t xml:space="preserve">% Weighting </t>
  </si>
  <si>
    <t>y</t>
  </si>
  <si>
    <t>Colour coding</t>
  </si>
  <si>
    <t>Distinction</t>
  </si>
  <si>
    <t>Merit</t>
  </si>
  <si>
    <t>L2 Pass</t>
  </si>
  <si>
    <t>L1 Pass</t>
  </si>
  <si>
    <t>Fail</t>
  </si>
  <si>
    <t>Total UMS (max of 300)</t>
  </si>
  <si>
    <t>A*</t>
  </si>
  <si>
    <t>A</t>
  </si>
  <si>
    <t>B</t>
  </si>
  <si>
    <t>C</t>
  </si>
  <si>
    <t>Project Unigol/Individual Project (UMS)/150</t>
  </si>
  <si>
    <t>Project Unigol/Individual Project</t>
  </si>
  <si>
    <t>Bagloriaeth Cymru/Welsh Baccalaureate - Mentergarwch ac Chyflogadwyedd/Enterprise and Employability Challenge</t>
  </si>
  <si>
    <t>Marc/ Mark</t>
  </si>
  <si>
    <t xml:space="preserve">Marc/ Mark </t>
  </si>
  <si>
    <t>Myfyrdod Personol/ Personal Reflection</t>
  </si>
  <si>
    <t>Tasgau/Tasks</t>
  </si>
  <si>
    <t>Mark/ Marc</t>
  </si>
  <si>
    <t>Mentergarwch ac Chyflogadwyedd/ Enterpise and Employability (UMS)/60</t>
  </si>
  <si>
    <t>Dinasyddiaeth Fyd-Eang/ Global Citizenship /36</t>
  </si>
  <si>
    <t>Dinasyddiaeth Fyd-Eang/ Global Citizenship (UMS)/45</t>
  </si>
  <si>
    <t>Her y Gymuned/ Community Challenge (UMS)/45</t>
  </si>
  <si>
    <t>Nodau/ Aims</t>
  </si>
  <si>
    <t>Rhesymeg/ Rationale</t>
  </si>
  <si>
    <t>Gwerthuso/ Evaluation</t>
  </si>
  <si>
    <t>Amrywiaeth o sgiliau/ Range of skills/ techniques</t>
  </si>
  <si>
    <t>eiladd a chynradd priodol/ Primary/ Secondary information/ data</t>
  </si>
  <si>
    <t>Mark /Marc</t>
  </si>
  <si>
    <t>fail</t>
  </si>
  <si>
    <t xml:space="preserve">Merit </t>
  </si>
  <si>
    <t xml:space="preserve">Distinction </t>
  </si>
  <si>
    <t xml:space="preserve"> Skills Audit</t>
  </si>
  <si>
    <t xml:space="preserve">Pen portrait </t>
  </si>
  <si>
    <t xml:space="preserve">Innovation Proposal </t>
  </si>
  <si>
    <t xml:space="preserve">Presentation </t>
  </si>
  <si>
    <t xml:space="preserve">Destination Plan </t>
  </si>
  <si>
    <t>Personal Reflection</t>
  </si>
  <si>
    <t>E</t>
  </si>
  <si>
    <t>D</t>
  </si>
  <si>
    <t>PassL3</t>
  </si>
  <si>
    <t>Project Unigol/ Individual Project /72</t>
  </si>
  <si>
    <t>Mentergarwch ac Chyflogadwyedd/Enterprise and Employability /45</t>
  </si>
  <si>
    <t>Her y Gymuned/ Community Challenge /27</t>
  </si>
  <si>
    <t>Tystysgrif Her Sgiliau Bagloriaeth Cymru/Skills Challenge Certificate Welsh Baccalaureate - Dinasyddiaeth Fyd-Eang/Global Citizenship Challenge</t>
  </si>
  <si>
    <t>Disgybl/Student</t>
  </si>
  <si>
    <t>DD1/LO 1</t>
  </si>
  <si>
    <t>DD2/LO2</t>
  </si>
  <si>
    <t>DD3/LO3</t>
  </si>
  <si>
    <t>DD4/LO4</t>
  </si>
  <si>
    <t>Cyfenw
Surname</t>
  </si>
  <si>
    <t>Enw
Forename</t>
  </si>
  <si>
    <t>Safbwynt
Standpoint</t>
  </si>
  <si>
    <t xml:space="preserve">Cynhadledd Fyd eang
Global Conference </t>
  </si>
  <si>
    <t>Myfyrdod Personol
Personal Reflection</t>
  </si>
  <si>
    <t>Cyfanswm marciau
Total Mark</t>
  </si>
  <si>
    <t>Tystysgrif Her Sgiliau Bagloriaeth Cymru/Skills Challenge Certificate Welsh Baccalaureate - Her y Gymuned/Community Challenge</t>
  </si>
  <si>
    <t>Cynnig y weithgaredd
Activity Proposal</t>
  </si>
  <si>
    <t xml:space="preserve">Datganiad Cadarnhad
Confirmation Statement </t>
  </si>
  <si>
    <t xml:space="preserve">Tystysgrif Her Sgiliau Bagloriaeth Cymru/Skills Challenge Certificate Welsh Baccalaureate - Project Unigol/Individual Project </t>
  </si>
  <si>
    <t>Technegau Digidol/ Digital presentation</t>
  </si>
  <si>
    <t>Dadansoddiad/ Data analysis</t>
  </si>
  <si>
    <t>Casgliadau/ Conclusion</t>
  </si>
  <si>
    <t>DD1/LO1</t>
  </si>
  <si>
    <t>DD5/LO5</t>
  </si>
  <si>
    <t>DD6/LO6</t>
  </si>
  <si>
    <t>DD7/LO7</t>
  </si>
  <si>
    <t>DD8/LO8</t>
  </si>
  <si>
    <t>Cyfanswm
Total</t>
  </si>
  <si>
    <t>Perfformiad cyflawn/Overall Performance</t>
  </si>
  <si>
    <t>Nifer unedau llwyddiannus
Total units passed L3</t>
  </si>
  <si>
    <t xml:space="preserve">Llwyddo/Methu
Overall Pass/Fail Wbac  </t>
  </si>
  <si>
    <t>Gradd debygol os 4 uned llwyddiannus
Indicative Grade if all 4 units passed</t>
  </si>
  <si>
    <t>Graddau
Grade Boundaries</t>
  </si>
  <si>
    <t>Gradd
Grade</t>
  </si>
  <si>
    <t>methu/fail</t>
  </si>
  <si>
    <t>llwyddo/PassL3</t>
  </si>
  <si>
    <t xml:space="preserve">Rhagoriaeth/Distinction </t>
  </si>
  <si>
    <t xml:space="preserve">Teilyngdod/Merit </t>
  </si>
  <si>
    <t>Methu/Fail</t>
  </si>
  <si>
    <t xml:space="preserve">james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</si>
</sst>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11" borderId="0" applyNumberFormat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/>
    <xf numFmtId="0" fontId="0" fillId="6" borderId="1" xfId="0" applyFill="1" applyBorder="1"/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Border="1"/>
    <xf numFmtId="0" fontId="3" fillId="6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2" fontId="0" fillId="0" borderId="1" xfId="0" applyNumberFormat="1" applyBorder="1"/>
    <xf numFmtId="0" fontId="3" fillId="6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5" borderId="0" xfId="0" applyFill="1" applyBorder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0" borderId="1" xfId="0" applyFill="1" applyBorder="1"/>
    <xf numFmtId="2" fontId="0" fillId="2" borderId="1" xfId="0" applyNumberFormat="1" applyFill="1" applyBorder="1"/>
    <xf numFmtId="2" fontId="0" fillId="3" borderId="1" xfId="0" applyNumberFormat="1" applyFill="1" applyBorder="1"/>
    <xf numFmtId="2" fontId="0" fillId="4" borderId="1" xfId="0" applyNumberFormat="1" applyFill="1" applyBorder="1"/>
    <xf numFmtId="2" fontId="0" fillId="5" borderId="1" xfId="0" applyNumberFormat="1" applyFill="1" applyBorder="1"/>
    <xf numFmtId="0" fontId="5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3" fillId="6" borderId="0" xfId="0" applyFont="1" applyFill="1" applyBorder="1" applyAlignment="1"/>
    <xf numFmtId="2" fontId="0" fillId="3" borderId="1" xfId="0" quotePrefix="1" applyNumberFormat="1" applyFill="1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wrapText="1"/>
    </xf>
    <xf numFmtId="0" fontId="6" fillId="11" borderId="1" xfId="1" applyBorder="1" applyAlignment="1">
      <alignment wrapText="1"/>
    </xf>
    <xf numFmtId="0" fontId="6" fillId="11" borderId="1" xfId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/>
    <xf numFmtId="0" fontId="3" fillId="3" borderId="1" xfId="0" applyFont="1" applyFill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2" borderId="1" xfId="0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9" fontId="3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wrapText="1"/>
    </xf>
  </cellXfs>
  <cellStyles count="2">
    <cellStyle name="Neutral" xfId="1" builtinId="28"/>
    <cellStyle name="Normal" xfId="0" builtinId="0"/>
  </cellStyles>
  <dxfs count="5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opLeftCell="E1" workbookViewId="0">
      <selection activeCell="T4" sqref="T4"/>
    </sheetView>
  </sheetViews>
  <sheetFormatPr defaultRowHeight="15" x14ac:dyDescent="0.25"/>
  <cols>
    <col min="1" max="1" width="12.5703125" customWidth="1"/>
    <col min="2" max="2" width="13.28515625" customWidth="1"/>
    <col min="3" max="9" width="15.42578125" customWidth="1"/>
    <col min="10" max="10" width="6.7109375" hidden="1" customWidth="1"/>
    <col min="11" max="11" width="6.7109375" bestFit="1" customWidth="1"/>
    <col min="12" max="12" width="5.7109375" hidden="1" customWidth="1"/>
    <col min="13" max="13" width="6.7109375" bestFit="1" customWidth="1"/>
    <col min="14" max="14" width="5.7109375" hidden="1" customWidth="1"/>
    <col min="15" max="15" width="6.85546875" bestFit="1" customWidth="1"/>
    <col min="16" max="17" width="6.85546875" customWidth="1"/>
    <col min="18" max="18" width="11.7109375" customWidth="1"/>
    <col min="19" max="19" width="10.140625" bestFit="1" customWidth="1"/>
    <col min="20" max="20" width="2" bestFit="1" customWidth="1"/>
  </cols>
  <sheetData>
    <row r="1" spans="1:22" ht="18.75" x14ac:dyDescent="0.3">
      <c r="A1" s="7" t="s">
        <v>31</v>
      </c>
    </row>
    <row r="2" spans="1:22" ht="15.75" x14ac:dyDescent="0.25">
      <c r="A2" s="49" t="s">
        <v>8</v>
      </c>
      <c r="B2" s="49"/>
      <c r="C2" s="48" t="s">
        <v>11</v>
      </c>
      <c r="D2" s="48"/>
      <c r="E2" s="48"/>
      <c r="F2" s="48"/>
      <c r="G2" s="48"/>
      <c r="H2" s="48"/>
      <c r="I2" s="48"/>
      <c r="J2" s="46" t="s">
        <v>10</v>
      </c>
      <c r="K2" s="47"/>
      <c r="L2" s="46" t="s">
        <v>2</v>
      </c>
      <c r="M2" s="46"/>
      <c r="N2" s="46" t="s">
        <v>3</v>
      </c>
      <c r="O2" s="47"/>
      <c r="P2" s="36" t="s">
        <v>12</v>
      </c>
      <c r="Q2" s="36" t="s">
        <v>13</v>
      </c>
      <c r="R2" s="8"/>
    </row>
    <row r="3" spans="1:22" ht="63" customHeight="1" x14ac:dyDescent="0.25">
      <c r="A3" s="15" t="s">
        <v>0</v>
      </c>
      <c r="B3" s="17" t="s">
        <v>1</v>
      </c>
      <c r="C3" s="11" t="s">
        <v>50</v>
      </c>
      <c r="D3" s="11" t="s">
        <v>51</v>
      </c>
      <c r="E3" s="11" t="s">
        <v>9</v>
      </c>
      <c r="F3" s="11" t="s">
        <v>52</v>
      </c>
      <c r="G3" s="11" t="s">
        <v>53</v>
      </c>
      <c r="H3" s="11" t="s">
        <v>54</v>
      </c>
      <c r="I3" s="11" t="s">
        <v>55</v>
      </c>
      <c r="J3" s="18" t="s">
        <v>4</v>
      </c>
      <c r="K3" s="18" t="s">
        <v>32</v>
      </c>
      <c r="L3" s="18" t="s">
        <v>4</v>
      </c>
      <c r="M3" s="18" t="s">
        <v>32</v>
      </c>
      <c r="N3" s="18" t="s">
        <v>4</v>
      </c>
      <c r="O3" s="18" t="s">
        <v>36</v>
      </c>
      <c r="P3" s="35" t="s">
        <v>36</v>
      </c>
      <c r="Q3" s="35" t="s">
        <v>36</v>
      </c>
      <c r="R3" s="16" t="s">
        <v>6</v>
      </c>
    </row>
    <row r="4" spans="1:22" x14ac:dyDescent="0.25">
      <c r="A4" s="1">
        <f>INDEX(Names, 2, 1)</f>
        <v>0</v>
      </c>
      <c r="B4" s="1" t="str">
        <f>INDEX(Names, 2, 2)</f>
        <v>James</v>
      </c>
      <c r="C4" s="1" t="s">
        <v>17</v>
      </c>
      <c r="D4" s="1" t="s">
        <v>17</v>
      </c>
      <c r="E4" s="1" t="s">
        <v>17</v>
      </c>
      <c r="F4" s="1" t="s">
        <v>17</v>
      </c>
      <c r="G4" s="1" t="s">
        <v>17</v>
      </c>
      <c r="H4" s="1" t="s">
        <v>17</v>
      </c>
      <c r="I4" s="1" t="s">
        <v>17</v>
      </c>
      <c r="J4" s="6">
        <v>3</v>
      </c>
      <c r="K4" s="6">
        <v>6</v>
      </c>
      <c r="L4" s="6">
        <v>3</v>
      </c>
      <c r="M4" s="6">
        <v>5</v>
      </c>
      <c r="N4" s="6">
        <v>4</v>
      </c>
      <c r="O4" s="6">
        <v>5</v>
      </c>
      <c r="P4" s="6">
        <v>1</v>
      </c>
      <c r="Q4" s="6">
        <v>1</v>
      </c>
      <c r="R4" s="3">
        <f>SUM(K4+M4+O4+P4+Q4)</f>
        <v>18</v>
      </c>
      <c r="S4" t="str">
        <f t="shared" ref="S4:S30" si="0">LOOKUP(R4,$U$4:$V$7)</f>
        <v>fail</v>
      </c>
      <c r="T4">
        <f>IF(R4&gt;=20,1,0)</f>
        <v>0</v>
      </c>
      <c r="U4">
        <v>0</v>
      </c>
      <c r="V4" t="s">
        <v>47</v>
      </c>
    </row>
    <row r="5" spans="1:22" x14ac:dyDescent="0.25">
      <c r="A5" s="1">
        <f>INDEX(Names, 3, 1)</f>
        <v>0</v>
      </c>
      <c r="B5" s="1">
        <f>INDEX(Names, 3, 2)</f>
        <v>0</v>
      </c>
      <c r="C5" s="1"/>
      <c r="D5" s="1"/>
      <c r="E5" s="1"/>
      <c r="F5" s="1"/>
      <c r="G5" s="1"/>
      <c r="H5" s="1"/>
      <c r="I5" s="1"/>
      <c r="J5" s="6"/>
      <c r="K5" s="6">
        <v>3</v>
      </c>
      <c r="L5" s="6"/>
      <c r="M5" s="6">
        <v>3</v>
      </c>
      <c r="N5" s="6"/>
      <c r="O5" s="6">
        <v>2</v>
      </c>
      <c r="P5" s="6">
        <v>3</v>
      </c>
      <c r="Q5" s="6">
        <v>3</v>
      </c>
      <c r="R5" s="38">
        <f t="shared" ref="R5:R30" si="1">SUM(K5+M5+O5+P5+Q5)</f>
        <v>14</v>
      </c>
      <c r="S5" t="str">
        <f t="shared" si="0"/>
        <v>fail</v>
      </c>
      <c r="T5">
        <f t="shared" ref="T5:T30" si="2">IF(R5&gt;=20,1,0)</f>
        <v>0</v>
      </c>
      <c r="U5">
        <v>20</v>
      </c>
      <c r="V5" t="s">
        <v>58</v>
      </c>
    </row>
    <row r="6" spans="1:22" x14ac:dyDescent="0.25">
      <c r="A6" s="1">
        <f>INDEX(Names, 4, 1)</f>
        <v>0</v>
      </c>
      <c r="B6" s="1">
        <f>INDEX(Names, 4, 2)</f>
        <v>0</v>
      </c>
      <c r="C6" s="1"/>
      <c r="D6" s="1"/>
      <c r="E6" s="1"/>
      <c r="F6" s="1"/>
      <c r="G6" s="1"/>
      <c r="H6" s="1"/>
      <c r="I6" s="1"/>
      <c r="J6" s="6"/>
      <c r="K6" s="6"/>
      <c r="L6" s="6"/>
      <c r="M6" s="6"/>
      <c r="N6" s="6"/>
      <c r="O6" s="6"/>
      <c r="P6" s="6"/>
      <c r="Q6" s="6"/>
      <c r="R6" s="38">
        <f t="shared" si="1"/>
        <v>0</v>
      </c>
      <c r="S6" t="str">
        <f t="shared" si="0"/>
        <v>fail</v>
      </c>
      <c r="T6">
        <f t="shared" si="2"/>
        <v>0</v>
      </c>
      <c r="U6">
        <v>27</v>
      </c>
      <c r="V6" t="s">
        <v>48</v>
      </c>
    </row>
    <row r="7" spans="1:22" x14ac:dyDescent="0.25">
      <c r="A7" s="1">
        <f>INDEX(Names, 5, 1)</f>
        <v>0</v>
      </c>
      <c r="B7" s="1">
        <f>INDEX(Names, 5, 2)</f>
        <v>0</v>
      </c>
      <c r="C7" s="1"/>
      <c r="D7" s="1"/>
      <c r="E7" s="1"/>
      <c r="F7" s="1"/>
      <c r="G7" s="1"/>
      <c r="H7" s="1"/>
      <c r="I7" s="1"/>
      <c r="J7" s="6"/>
      <c r="K7" s="6"/>
      <c r="L7" s="6"/>
      <c r="M7" s="6"/>
      <c r="N7" s="6"/>
      <c r="O7" s="6"/>
      <c r="P7" s="6"/>
      <c r="Q7" s="6"/>
      <c r="R7" s="38">
        <f t="shared" si="1"/>
        <v>0</v>
      </c>
      <c r="S7" t="str">
        <f t="shared" si="0"/>
        <v>fail</v>
      </c>
      <c r="T7">
        <f t="shared" si="2"/>
        <v>0</v>
      </c>
      <c r="U7">
        <v>36</v>
      </c>
      <c r="V7" t="s">
        <v>49</v>
      </c>
    </row>
    <row r="8" spans="1:22" x14ac:dyDescent="0.25">
      <c r="A8" s="1">
        <f>INDEX(Names, 6, 1)</f>
        <v>0</v>
      </c>
      <c r="B8" s="1">
        <f>INDEX(Names, 6, 2)</f>
        <v>0</v>
      </c>
      <c r="C8" s="1"/>
      <c r="D8" s="1"/>
      <c r="E8" s="1"/>
      <c r="F8" s="1"/>
      <c r="G8" s="1"/>
      <c r="H8" s="1"/>
      <c r="I8" s="1"/>
      <c r="J8" s="6"/>
      <c r="K8" s="6"/>
      <c r="L8" s="6"/>
      <c r="M8" s="6"/>
      <c r="N8" s="6"/>
      <c r="O8" s="6"/>
      <c r="P8" s="6"/>
      <c r="Q8" s="6"/>
      <c r="R8" s="38">
        <f t="shared" si="1"/>
        <v>0</v>
      </c>
      <c r="S8" t="str">
        <f t="shared" si="0"/>
        <v>fail</v>
      </c>
      <c r="T8">
        <f t="shared" si="2"/>
        <v>0</v>
      </c>
    </row>
    <row r="9" spans="1:22" x14ac:dyDescent="0.25">
      <c r="A9" s="1">
        <f>INDEX(Names, 7, 1)</f>
        <v>0</v>
      </c>
      <c r="B9" s="1">
        <f>INDEX(Names, , 2)</f>
        <v>0</v>
      </c>
      <c r="C9" s="1"/>
      <c r="D9" s="1"/>
      <c r="E9" s="1"/>
      <c r="F9" s="1"/>
      <c r="G9" s="1"/>
      <c r="H9" s="1"/>
      <c r="I9" s="1"/>
      <c r="J9" s="6"/>
      <c r="K9" s="6"/>
      <c r="L9" s="6"/>
      <c r="M9" s="6"/>
      <c r="N9" s="6"/>
      <c r="O9" s="6"/>
      <c r="P9" s="6"/>
      <c r="Q9" s="6"/>
      <c r="R9" s="38">
        <f t="shared" si="1"/>
        <v>0</v>
      </c>
      <c r="S9" t="str">
        <f t="shared" si="0"/>
        <v>fail</v>
      </c>
      <c r="T9">
        <f t="shared" si="2"/>
        <v>0</v>
      </c>
    </row>
    <row r="10" spans="1:22" x14ac:dyDescent="0.25">
      <c r="A10" s="1">
        <f>INDEX(Names, 8, 1)</f>
        <v>0</v>
      </c>
      <c r="B10" s="1">
        <f>INDEX(Names, 7, 2)</f>
        <v>0</v>
      </c>
      <c r="C10" s="1"/>
      <c r="D10" s="1"/>
      <c r="E10" s="1"/>
      <c r="F10" s="1"/>
      <c r="G10" s="1"/>
      <c r="H10" s="1"/>
      <c r="I10" s="1"/>
      <c r="J10" s="6"/>
      <c r="K10" s="6"/>
      <c r="L10" s="6"/>
      <c r="M10" s="6"/>
      <c r="N10" s="6"/>
      <c r="O10" s="6"/>
      <c r="P10" s="6"/>
      <c r="Q10" s="6"/>
      <c r="R10" s="38">
        <f t="shared" si="1"/>
        <v>0</v>
      </c>
      <c r="S10" t="str">
        <f t="shared" si="0"/>
        <v>fail</v>
      </c>
      <c r="T10">
        <f t="shared" si="2"/>
        <v>0</v>
      </c>
    </row>
    <row r="11" spans="1:22" x14ac:dyDescent="0.25">
      <c r="A11" s="1">
        <f>INDEX(Names, 9, 1)</f>
        <v>0</v>
      </c>
      <c r="B11" s="1">
        <f>INDEX(Names, 8, 2)</f>
        <v>0</v>
      </c>
      <c r="C11" s="1"/>
      <c r="D11" s="1"/>
      <c r="E11" s="1"/>
      <c r="F11" s="1"/>
      <c r="G11" s="1"/>
      <c r="H11" s="1"/>
      <c r="I11" s="1"/>
      <c r="J11" s="6"/>
      <c r="K11" s="6"/>
      <c r="L11" s="6"/>
      <c r="M11" s="6"/>
      <c r="N11" s="6"/>
      <c r="O11" s="6"/>
      <c r="P11" s="6"/>
      <c r="Q11" s="6"/>
      <c r="R11" s="38">
        <f t="shared" si="1"/>
        <v>0</v>
      </c>
      <c r="S11" t="str">
        <f t="shared" si="0"/>
        <v>fail</v>
      </c>
      <c r="T11">
        <f t="shared" si="2"/>
        <v>0</v>
      </c>
    </row>
    <row r="12" spans="1:22" x14ac:dyDescent="0.25">
      <c r="A12" s="1">
        <f>INDEX(Names, 10, 1)</f>
        <v>0</v>
      </c>
      <c r="B12" s="1">
        <f>INDEX(Names, 9, 2)</f>
        <v>0</v>
      </c>
      <c r="C12" s="1"/>
      <c r="D12" s="1"/>
      <c r="E12" s="1"/>
      <c r="F12" s="1"/>
      <c r="G12" s="1"/>
      <c r="H12" s="1"/>
      <c r="I12" s="1"/>
      <c r="J12" s="6"/>
      <c r="K12" s="6"/>
      <c r="L12" s="6"/>
      <c r="M12" s="6"/>
      <c r="N12" s="6"/>
      <c r="O12" s="6"/>
      <c r="P12" s="6"/>
      <c r="Q12" s="6"/>
      <c r="R12" s="38">
        <f t="shared" si="1"/>
        <v>0</v>
      </c>
      <c r="S12" t="str">
        <f t="shared" si="0"/>
        <v>fail</v>
      </c>
      <c r="T12">
        <f t="shared" si="2"/>
        <v>0</v>
      </c>
    </row>
    <row r="13" spans="1:22" x14ac:dyDescent="0.25">
      <c r="A13" s="1">
        <f>INDEX(Names, 11, 1)</f>
        <v>0</v>
      </c>
      <c r="B13" s="1">
        <f>INDEX(Names, 10, 2)</f>
        <v>0</v>
      </c>
      <c r="C13" s="1"/>
      <c r="D13" s="1"/>
      <c r="E13" s="1"/>
      <c r="F13" s="1"/>
      <c r="G13" s="1"/>
      <c r="H13" s="1"/>
      <c r="I13" s="1"/>
      <c r="J13" s="6"/>
      <c r="K13" s="6"/>
      <c r="L13" s="6"/>
      <c r="M13" s="6"/>
      <c r="N13" s="6"/>
      <c r="O13" s="6"/>
      <c r="P13" s="6"/>
      <c r="Q13" s="6"/>
      <c r="R13" s="38">
        <f t="shared" si="1"/>
        <v>0</v>
      </c>
      <c r="S13" t="str">
        <f t="shared" si="0"/>
        <v>fail</v>
      </c>
      <c r="T13">
        <f t="shared" si="2"/>
        <v>0</v>
      </c>
    </row>
    <row r="14" spans="1:22" x14ac:dyDescent="0.25">
      <c r="A14" s="1">
        <f>INDEX(Names, 12, 1)</f>
        <v>0</v>
      </c>
      <c r="B14" s="1">
        <f>INDEX(Names, 11, 2)</f>
        <v>0</v>
      </c>
      <c r="C14" s="1"/>
      <c r="D14" s="1"/>
      <c r="E14" s="1"/>
      <c r="F14" s="1"/>
      <c r="G14" s="1"/>
      <c r="H14" s="1"/>
      <c r="I14" s="1"/>
      <c r="J14" s="6"/>
      <c r="K14" s="6"/>
      <c r="L14" s="6"/>
      <c r="M14" s="6"/>
      <c r="N14" s="6"/>
      <c r="O14" s="6"/>
      <c r="P14" s="6"/>
      <c r="Q14" s="6"/>
      <c r="R14" s="38">
        <f t="shared" si="1"/>
        <v>0</v>
      </c>
      <c r="S14" t="str">
        <f t="shared" si="0"/>
        <v>fail</v>
      </c>
      <c r="T14">
        <f t="shared" si="2"/>
        <v>0</v>
      </c>
    </row>
    <row r="15" spans="1:22" x14ac:dyDescent="0.25">
      <c r="A15" s="1">
        <f>INDEX(Names, 13, 1)</f>
        <v>0</v>
      </c>
      <c r="B15" s="1">
        <f>INDEX(Names, 12, 2)</f>
        <v>0</v>
      </c>
      <c r="C15" s="1"/>
      <c r="D15" s="1"/>
      <c r="E15" s="1"/>
      <c r="F15" s="1"/>
      <c r="G15" s="1"/>
      <c r="H15" s="1"/>
      <c r="I15" s="1"/>
      <c r="J15" s="6"/>
      <c r="K15" s="6"/>
      <c r="L15" s="6"/>
      <c r="M15" s="6"/>
      <c r="N15" s="6"/>
      <c r="O15" s="6"/>
      <c r="P15" s="6"/>
      <c r="Q15" s="6"/>
      <c r="R15" s="38">
        <f t="shared" si="1"/>
        <v>0</v>
      </c>
      <c r="S15" t="str">
        <f t="shared" si="0"/>
        <v>fail</v>
      </c>
      <c r="T15">
        <f t="shared" si="2"/>
        <v>0</v>
      </c>
    </row>
    <row r="16" spans="1:22" x14ac:dyDescent="0.25">
      <c r="A16" s="1">
        <f>INDEX(Names, 14, 1)</f>
        <v>0</v>
      </c>
      <c r="B16" s="1">
        <f>INDEX(Names, 13, 2)</f>
        <v>0</v>
      </c>
      <c r="C16" s="1"/>
      <c r="D16" s="1"/>
      <c r="E16" s="1"/>
      <c r="F16" s="1"/>
      <c r="G16" s="1"/>
      <c r="H16" s="1"/>
      <c r="I16" s="1"/>
      <c r="J16" s="6"/>
      <c r="K16" s="6"/>
      <c r="L16" s="6"/>
      <c r="M16" s="6"/>
      <c r="N16" s="6"/>
      <c r="O16" s="6"/>
      <c r="P16" s="6"/>
      <c r="Q16" s="6"/>
      <c r="R16" s="38">
        <f t="shared" si="1"/>
        <v>0</v>
      </c>
      <c r="S16" t="str">
        <f t="shared" si="0"/>
        <v>fail</v>
      </c>
      <c r="T16">
        <f t="shared" si="2"/>
        <v>0</v>
      </c>
    </row>
    <row r="17" spans="1:20" x14ac:dyDescent="0.25">
      <c r="A17" s="1">
        <f>INDEX(Names, 15, 1)</f>
        <v>0</v>
      </c>
      <c r="B17" s="1">
        <f>INDEX(Names, 14, 2)</f>
        <v>0</v>
      </c>
      <c r="C17" s="1"/>
      <c r="D17" s="1"/>
      <c r="E17" s="1"/>
      <c r="F17" s="1"/>
      <c r="G17" s="1"/>
      <c r="H17" s="1"/>
      <c r="I17" s="1"/>
      <c r="J17" s="6"/>
      <c r="K17" s="6"/>
      <c r="L17" s="6"/>
      <c r="M17" s="6"/>
      <c r="N17" s="6"/>
      <c r="O17" s="6"/>
      <c r="P17" s="6"/>
      <c r="Q17" s="6"/>
      <c r="R17" s="38">
        <f t="shared" si="1"/>
        <v>0</v>
      </c>
      <c r="S17" t="str">
        <f t="shared" si="0"/>
        <v>fail</v>
      </c>
      <c r="T17">
        <f t="shared" si="2"/>
        <v>0</v>
      </c>
    </row>
    <row r="18" spans="1:20" x14ac:dyDescent="0.25">
      <c r="A18" s="1">
        <f>INDEX(Names, 16, 1)</f>
        <v>0</v>
      </c>
      <c r="B18" s="1">
        <f>INDEX(Names, 15, 2)</f>
        <v>0</v>
      </c>
      <c r="C18" s="1"/>
      <c r="D18" s="1"/>
      <c r="E18" s="1"/>
      <c r="F18" s="1"/>
      <c r="G18" s="1"/>
      <c r="H18" s="1"/>
      <c r="I18" s="1"/>
      <c r="J18" s="6"/>
      <c r="K18" s="6"/>
      <c r="L18" s="6"/>
      <c r="M18" s="6"/>
      <c r="N18" s="6"/>
      <c r="O18" s="6"/>
      <c r="P18" s="6"/>
      <c r="Q18" s="6"/>
      <c r="R18" s="38">
        <f t="shared" si="1"/>
        <v>0</v>
      </c>
      <c r="S18" t="str">
        <f t="shared" si="0"/>
        <v>fail</v>
      </c>
      <c r="T18">
        <f t="shared" si="2"/>
        <v>0</v>
      </c>
    </row>
    <row r="19" spans="1:20" x14ac:dyDescent="0.25">
      <c r="A19" s="1">
        <f>INDEX(Names, 17, 1)</f>
        <v>0</v>
      </c>
      <c r="B19" s="1">
        <f>INDEX(Names, 16, 2)</f>
        <v>0</v>
      </c>
      <c r="C19" s="1"/>
      <c r="D19" s="1"/>
      <c r="E19" s="1"/>
      <c r="F19" s="1"/>
      <c r="G19" s="1"/>
      <c r="H19" s="1"/>
      <c r="I19" s="1"/>
      <c r="J19" s="6"/>
      <c r="K19" s="6"/>
      <c r="L19" s="6"/>
      <c r="M19" s="6"/>
      <c r="N19" s="6"/>
      <c r="O19" s="6"/>
      <c r="P19" s="6"/>
      <c r="Q19" s="6"/>
      <c r="R19" s="38">
        <f t="shared" si="1"/>
        <v>0</v>
      </c>
      <c r="S19" t="str">
        <f t="shared" si="0"/>
        <v>fail</v>
      </c>
      <c r="T19">
        <f t="shared" si="2"/>
        <v>0</v>
      </c>
    </row>
    <row r="20" spans="1:20" x14ac:dyDescent="0.25">
      <c r="A20" s="1">
        <f>INDEX(Names, 18, 1)</f>
        <v>0</v>
      </c>
      <c r="B20" s="1">
        <f>INDEX(Names, 17, 2)</f>
        <v>0</v>
      </c>
      <c r="C20" s="1"/>
      <c r="D20" s="1"/>
      <c r="E20" s="1"/>
      <c r="F20" s="1"/>
      <c r="G20" s="1"/>
      <c r="H20" s="1"/>
      <c r="I20" s="1"/>
      <c r="J20" s="6"/>
      <c r="K20" s="6"/>
      <c r="L20" s="6"/>
      <c r="M20" s="6"/>
      <c r="N20" s="6"/>
      <c r="O20" s="6"/>
      <c r="P20" s="6"/>
      <c r="Q20" s="6"/>
      <c r="R20" s="38">
        <f t="shared" si="1"/>
        <v>0</v>
      </c>
      <c r="S20" t="str">
        <f t="shared" si="0"/>
        <v>fail</v>
      </c>
      <c r="T20">
        <f t="shared" si="2"/>
        <v>0</v>
      </c>
    </row>
    <row r="21" spans="1:20" x14ac:dyDescent="0.25">
      <c r="A21" s="1">
        <f>INDEX(Names, 19, 1)</f>
        <v>0</v>
      </c>
      <c r="B21" s="1">
        <f>INDEX(Names, 18, 2)</f>
        <v>0</v>
      </c>
      <c r="C21" s="1"/>
      <c r="D21" s="1"/>
      <c r="E21" s="1"/>
      <c r="F21" s="1"/>
      <c r="G21" s="1"/>
      <c r="H21" s="1"/>
      <c r="I21" s="1"/>
      <c r="J21" s="6"/>
      <c r="K21" s="6"/>
      <c r="L21" s="6"/>
      <c r="M21" s="6"/>
      <c r="N21" s="6"/>
      <c r="O21" s="6"/>
      <c r="P21" s="6"/>
      <c r="Q21" s="6"/>
      <c r="R21" s="38">
        <f t="shared" si="1"/>
        <v>0</v>
      </c>
      <c r="S21" t="str">
        <f t="shared" si="0"/>
        <v>fail</v>
      </c>
      <c r="T21">
        <f t="shared" si="2"/>
        <v>0</v>
      </c>
    </row>
    <row r="22" spans="1:20" x14ac:dyDescent="0.25">
      <c r="A22" s="1">
        <f>INDEX(Names, 20, 1)</f>
        <v>0</v>
      </c>
      <c r="B22" s="1">
        <f>INDEX(Names, 19, 2)</f>
        <v>0</v>
      </c>
      <c r="C22" s="1"/>
      <c r="D22" s="1"/>
      <c r="E22" s="1"/>
      <c r="F22" s="1"/>
      <c r="G22" s="1"/>
      <c r="H22" s="1"/>
      <c r="I22" s="1"/>
      <c r="J22" s="6"/>
      <c r="K22" s="6"/>
      <c r="L22" s="6"/>
      <c r="M22" s="6"/>
      <c r="N22" s="6"/>
      <c r="O22" s="6"/>
      <c r="P22" s="6"/>
      <c r="Q22" s="6"/>
      <c r="R22" s="38">
        <f t="shared" si="1"/>
        <v>0</v>
      </c>
      <c r="S22" t="str">
        <f t="shared" si="0"/>
        <v>fail</v>
      </c>
      <c r="T22">
        <f t="shared" si="2"/>
        <v>0</v>
      </c>
    </row>
    <row r="23" spans="1:20" x14ac:dyDescent="0.25">
      <c r="A23" s="1">
        <f>INDEX(Names, 21, 1)</f>
        <v>0</v>
      </c>
      <c r="B23" s="1">
        <f>INDEX(Names, 20, 2)</f>
        <v>0</v>
      </c>
      <c r="C23" s="1"/>
      <c r="D23" s="1"/>
      <c r="E23" s="1"/>
      <c r="F23" s="1"/>
      <c r="G23" s="1"/>
      <c r="H23" s="1"/>
      <c r="I23" s="1"/>
      <c r="J23" s="6"/>
      <c r="K23" s="6"/>
      <c r="L23" s="6"/>
      <c r="M23" s="6"/>
      <c r="N23" s="6"/>
      <c r="O23" s="6"/>
      <c r="P23" s="6"/>
      <c r="Q23" s="6"/>
      <c r="R23" s="38">
        <f t="shared" si="1"/>
        <v>0</v>
      </c>
      <c r="S23" t="str">
        <f t="shared" si="0"/>
        <v>fail</v>
      </c>
      <c r="T23">
        <f t="shared" si="2"/>
        <v>0</v>
      </c>
    </row>
    <row r="24" spans="1:20" x14ac:dyDescent="0.25">
      <c r="A24" s="1">
        <f>INDEX(Names, 22, 1)</f>
        <v>0</v>
      </c>
      <c r="B24" s="1">
        <f>INDEX(Names, 21, 2)</f>
        <v>0</v>
      </c>
      <c r="C24" s="1"/>
      <c r="D24" s="1"/>
      <c r="E24" s="1"/>
      <c r="F24" s="1"/>
      <c r="G24" s="1"/>
      <c r="H24" s="1"/>
      <c r="I24" s="1"/>
      <c r="J24" s="6"/>
      <c r="K24" s="6"/>
      <c r="L24" s="6"/>
      <c r="M24" s="6"/>
      <c r="N24" s="6"/>
      <c r="O24" s="6"/>
      <c r="P24" s="6"/>
      <c r="Q24" s="6"/>
      <c r="R24" s="38">
        <f t="shared" si="1"/>
        <v>0</v>
      </c>
      <c r="S24" t="str">
        <f t="shared" si="0"/>
        <v>fail</v>
      </c>
      <c r="T24">
        <f t="shared" si="2"/>
        <v>0</v>
      </c>
    </row>
    <row r="25" spans="1:20" x14ac:dyDescent="0.25">
      <c r="A25" s="1">
        <f>INDEX(Names, 23, 1)</f>
        <v>0</v>
      </c>
      <c r="B25" s="1">
        <f>INDEX(Names, 22, 2)</f>
        <v>0</v>
      </c>
      <c r="C25" s="1"/>
      <c r="D25" s="1"/>
      <c r="E25" s="1"/>
      <c r="F25" s="1"/>
      <c r="G25" s="1"/>
      <c r="H25" s="1"/>
      <c r="I25" s="1"/>
      <c r="J25" s="6"/>
      <c r="K25" s="6"/>
      <c r="L25" s="6"/>
      <c r="M25" s="6"/>
      <c r="N25" s="6"/>
      <c r="O25" s="6"/>
      <c r="P25" s="6"/>
      <c r="Q25" s="6"/>
      <c r="R25" s="38">
        <f t="shared" si="1"/>
        <v>0</v>
      </c>
      <c r="S25" t="str">
        <f t="shared" si="0"/>
        <v>fail</v>
      </c>
      <c r="T25">
        <f t="shared" si="2"/>
        <v>0</v>
      </c>
    </row>
    <row r="26" spans="1:20" x14ac:dyDescent="0.25">
      <c r="A26" s="1">
        <f>INDEX(Names, 24, 1)</f>
        <v>0</v>
      </c>
      <c r="B26" s="1">
        <f>INDEX(Names, 23, 2)</f>
        <v>0</v>
      </c>
      <c r="C26" s="1"/>
      <c r="D26" s="1"/>
      <c r="E26" s="1"/>
      <c r="F26" s="1"/>
      <c r="G26" s="1"/>
      <c r="H26" s="1"/>
      <c r="I26" s="1"/>
      <c r="J26" s="6"/>
      <c r="K26" s="6"/>
      <c r="L26" s="6"/>
      <c r="M26" s="6"/>
      <c r="N26" s="6"/>
      <c r="O26" s="6"/>
      <c r="P26" s="6"/>
      <c r="Q26" s="6"/>
      <c r="R26" s="38">
        <f t="shared" si="1"/>
        <v>0</v>
      </c>
      <c r="S26" t="str">
        <f t="shared" si="0"/>
        <v>fail</v>
      </c>
      <c r="T26">
        <f t="shared" si="2"/>
        <v>0</v>
      </c>
    </row>
    <row r="27" spans="1:20" x14ac:dyDescent="0.25">
      <c r="A27" s="1">
        <f>INDEX(Names, 25, 1)</f>
        <v>0</v>
      </c>
      <c r="B27" s="1">
        <f>INDEX(Names, 24, 2)</f>
        <v>0</v>
      </c>
      <c r="C27" s="1"/>
      <c r="D27" s="1"/>
      <c r="E27" s="1"/>
      <c r="F27" s="1"/>
      <c r="G27" s="1"/>
      <c r="H27" s="1"/>
      <c r="I27" s="1"/>
      <c r="J27" s="6"/>
      <c r="K27" s="6"/>
      <c r="L27" s="6"/>
      <c r="M27" s="6"/>
      <c r="N27" s="6"/>
      <c r="O27" s="6"/>
      <c r="P27" s="6"/>
      <c r="Q27" s="6"/>
      <c r="R27" s="38">
        <f t="shared" si="1"/>
        <v>0</v>
      </c>
      <c r="S27" t="str">
        <f t="shared" si="0"/>
        <v>fail</v>
      </c>
      <c r="T27">
        <f t="shared" si="2"/>
        <v>0</v>
      </c>
    </row>
    <row r="28" spans="1:20" x14ac:dyDescent="0.25">
      <c r="A28" s="1">
        <f>INDEX(Names, 26, 1)</f>
        <v>0</v>
      </c>
      <c r="B28" s="1">
        <f>INDEX(Names, 25, 2)</f>
        <v>0</v>
      </c>
      <c r="C28" s="1"/>
      <c r="D28" s="1"/>
      <c r="E28" s="1"/>
      <c r="F28" s="1"/>
      <c r="G28" s="1"/>
      <c r="H28" s="1"/>
      <c r="I28" s="1"/>
      <c r="J28" s="6"/>
      <c r="K28" s="6"/>
      <c r="L28" s="6"/>
      <c r="M28" s="6"/>
      <c r="N28" s="6"/>
      <c r="O28" s="6"/>
      <c r="P28" s="6"/>
      <c r="Q28" s="6"/>
      <c r="R28" s="38">
        <f t="shared" si="1"/>
        <v>0</v>
      </c>
      <c r="S28" t="str">
        <f t="shared" si="0"/>
        <v>fail</v>
      </c>
      <c r="T28">
        <f t="shared" si="2"/>
        <v>0</v>
      </c>
    </row>
    <row r="29" spans="1:20" x14ac:dyDescent="0.25">
      <c r="A29" s="1">
        <f>INDEX(Names, 27, 1)</f>
        <v>0</v>
      </c>
      <c r="B29" s="1">
        <f>INDEX(Names, 26, 2)</f>
        <v>0</v>
      </c>
      <c r="C29" s="1"/>
      <c r="D29" s="1"/>
      <c r="E29" s="1"/>
      <c r="F29" s="1"/>
      <c r="G29" s="1"/>
      <c r="H29" s="1"/>
      <c r="I29" s="1"/>
      <c r="J29" s="6"/>
      <c r="K29" s="6"/>
      <c r="L29" s="6"/>
      <c r="M29" s="6"/>
      <c r="N29" s="6"/>
      <c r="O29" s="6"/>
      <c r="P29" s="6"/>
      <c r="Q29" s="6"/>
      <c r="R29" s="38">
        <f t="shared" si="1"/>
        <v>0</v>
      </c>
      <c r="S29" t="str">
        <f t="shared" si="0"/>
        <v>fail</v>
      </c>
      <c r="T29">
        <f t="shared" si="2"/>
        <v>0</v>
      </c>
    </row>
    <row r="30" spans="1:20" x14ac:dyDescent="0.25">
      <c r="A30" s="1">
        <f>INDEX(Names, 28, 1)</f>
        <v>0</v>
      </c>
      <c r="B30" s="1">
        <f>INDEX(Names, 27, 2)</f>
        <v>0</v>
      </c>
      <c r="C30" s="1"/>
      <c r="D30" s="1"/>
      <c r="E30" s="1"/>
      <c r="F30" s="1"/>
      <c r="G30" s="1"/>
      <c r="H30" s="1"/>
      <c r="I30" s="1"/>
      <c r="J30" s="6"/>
      <c r="K30" s="6"/>
      <c r="L30" s="6"/>
      <c r="M30" s="6"/>
      <c r="N30" s="6"/>
      <c r="O30" s="6"/>
      <c r="P30" s="6"/>
      <c r="Q30" s="6"/>
      <c r="R30" s="38">
        <f t="shared" si="1"/>
        <v>0</v>
      </c>
      <c r="S30" t="str">
        <f t="shared" si="0"/>
        <v>fail</v>
      </c>
      <c r="T30">
        <f t="shared" si="2"/>
        <v>0</v>
      </c>
    </row>
  </sheetData>
  <mergeCells count="5">
    <mergeCell ref="J2:K2"/>
    <mergeCell ref="N2:O2"/>
    <mergeCell ref="L2:M2"/>
    <mergeCell ref="C2:I2"/>
    <mergeCell ref="A2:B2"/>
  </mergeCells>
  <conditionalFormatting sqref="C4:C30">
    <cfRule type="containsText" dxfId="53" priority="9" operator="containsText" text="N">
      <formula>NOT(ISERROR(SEARCH("N",C4)))</formula>
    </cfRule>
    <cfRule type="containsText" dxfId="52" priority="10" operator="containsText" text="Y">
      <formula>NOT(ISERROR(SEARCH("Y",C4)))</formula>
    </cfRule>
  </conditionalFormatting>
  <conditionalFormatting sqref="I4:I30">
    <cfRule type="containsText" dxfId="51" priority="1" operator="containsText" text="N">
      <formula>NOT(ISERROR(SEARCH("N",I4)))</formula>
    </cfRule>
    <cfRule type="containsText" dxfId="50" priority="2" operator="containsText" text="Y">
      <formula>NOT(ISERROR(SEARCH("Y",I4)))</formula>
    </cfRule>
  </conditionalFormatting>
  <conditionalFormatting sqref="D4:D30">
    <cfRule type="containsText" dxfId="49" priority="7" operator="containsText" text="N">
      <formula>NOT(ISERROR(SEARCH("N",D4)))</formula>
    </cfRule>
    <cfRule type="containsText" dxfId="48" priority="8" operator="containsText" text="Y">
      <formula>NOT(ISERROR(SEARCH("Y",D4)))</formula>
    </cfRule>
  </conditionalFormatting>
  <conditionalFormatting sqref="E4:E30">
    <cfRule type="containsText" dxfId="47" priority="5" operator="containsText" text="N">
      <formula>NOT(ISERROR(SEARCH("N",E4)))</formula>
    </cfRule>
    <cfRule type="containsText" dxfId="46" priority="6" operator="containsText" text="Y">
      <formula>NOT(ISERROR(SEARCH("Y",E4)))</formula>
    </cfRule>
  </conditionalFormatting>
  <conditionalFormatting sqref="F4:H30">
    <cfRule type="containsText" dxfId="45" priority="3" operator="containsText" text="N">
      <formula>NOT(ISERROR(SEARCH("N",F4)))</formula>
    </cfRule>
    <cfRule type="containsText" dxfId="44" priority="4" operator="containsText" text="Y">
      <formula>NOT(ISERROR(SEARCH("Y",F4)))</formula>
    </cfRule>
  </conditionalFormatting>
  <dataValidations count="2">
    <dataValidation type="list" allowBlank="1" showInputMessage="1" showErrorMessage="1" sqref="J4:J30 L4:L30 N4:N30">
      <formula1>Band</formula1>
    </dataValidation>
    <dataValidation type="list" allowBlank="1" showInputMessage="1" showErrorMessage="1" sqref="K4:K30 M4:M30 O4:Q30">
      <formula1>Mark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workbookViewId="0">
      <selection activeCell="B4" sqref="B4"/>
    </sheetView>
  </sheetViews>
  <sheetFormatPr defaultRowHeight="15" x14ac:dyDescent="0.25"/>
  <cols>
    <col min="1" max="1" width="11.7109375" customWidth="1"/>
    <col min="2" max="2" width="14.140625" customWidth="1"/>
    <col min="3" max="3" width="15" customWidth="1"/>
    <col min="4" max="4" width="17.7109375" customWidth="1"/>
    <col min="5" max="5" width="15" customWidth="1"/>
    <col min="6" max="6" width="0" hidden="1" customWidth="1"/>
    <col min="8" max="8" width="5.7109375" hidden="1" customWidth="1"/>
    <col min="10" max="10" width="0" hidden="1" customWidth="1"/>
    <col min="13" max="13" width="10.85546875" customWidth="1"/>
    <col min="15" max="15" width="8" bestFit="1" customWidth="1"/>
  </cols>
  <sheetData>
    <row r="1" spans="1:30" ht="18.75" x14ac:dyDescent="0.3">
      <c r="A1" s="7" t="s">
        <v>62</v>
      </c>
    </row>
    <row r="2" spans="1:30" ht="15.75" x14ac:dyDescent="0.25">
      <c r="A2" s="49" t="s">
        <v>63</v>
      </c>
      <c r="B2" s="49"/>
      <c r="C2" s="50" t="s">
        <v>35</v>
      </c>
      <c r="D2" s="50"/>
      <c r="E2" s="50"/>
      <c r="F2" s="47" t="s">
        <v>64</v>
      </c>
      <c r="G2" s="47"/>
      <c r="H2" s="47" t="s">
        <v>65</v>
      </c>
      <c r="I2" s="47"/>
      <c r="J2" s="47" t="s">
        <v>66</v>
      </c>
      <c r="K2" s="47"/>
      <c r="L2" s="39" t="s">
        <v>67</v>
      </c>
      <c r="M2" s="8"/>
    </row>
    <row r="3" spans="1:30" ht="65.25" customHeight="1" x14ac:dyDescent="0.25">
      <c r="A3" s="9" t="s">
        <v>68</v>
      </c>
      <c r="B3" s="9" t="s">
        <v>69</v>
      </c>
      <c r="C3" s="12" t="s">
        <v>70</v>
      </c>
      <c r="D3" s="12" t="s">
        <v>71</v>
      </c>
      <c r="E3" s="12" t="s">
        <v>72</v>
      </c>
      <c r="F3" s="22" t="s">
        <v>4</v>
      </c>
      <c r="G3" s="22" t="s">
        <v>32</v>
      </c>
      <c r="H3" s="22" t="s">
        <v>4</v>
      </c>
      <c r="I3" s="22" t="s">
        <v>32</v>
      </c>
      <c r="J3" s="22" t="s">
        <v>4</v>
      </c>
      <c r="K3" s="22" t="s">
        <v>33</v>
      </c>
      <c r="L3" s="37" t="s">
        <v>33</v>
      </c>
      <c r="M3" s="62" t="s">
        <v>73</v>
      </c>
      <c r="AB3" t="s">
        <v>4</v>
      </c>
      <c r="AD3" t="s">
        <v>5</v>
      </c>
    </row>
    <row r="4" spans="1:30" x14ac:dyDescent="0.25">
      <c r="A4" s="1"/>
      <c r="B4" s="1" t="s">
        <v>7</v>
      </c>
      <c r="C4" s="5" t="s">
        <v>17</v>
      </c>
      <c r="D4" s="5" t="s">
        <v>17</v>
      </c>
      <c r="E4" s="5" t="s">
        <v>17</v>
      </c>
      <c r="F4" s="6">
        <v>2</v>
      </c>
      <c r="G4" s="6">
        <v>7</v>
      </c>
      <c r="H4" s="6">
        <v>3</v>
      </c>
      <c r="I4" s="6">
        <v>6</v>
      </c>
      <c r="J4" s="6">
        <v>4</v>
      </c>
      <c r="K4" s="6">
        <v>6</v>
      </c>
      <c r="L4" s="6">
        <v>1</v>
      </c>
      <c r="M4" s="3">
        <f>SUM(G4+I4+K4)</f>
        <v>19</v>
      </c>
      <c r="N4" t="str">
        <f>LOOKUP(M4,$P$4:$Q$7)</f>
        <v>llwyddo/PassL3</v>
      </c>
      <c r="O4">
        <f>IF(M4&gt;=15,1,0)</f>
        <v>1</v>
      </c>
      <c r="P4">
        <v>0</v>
      </c>
      <c r="Q4" t="s">
        <v>93</v>
      </c>
      <c r="AB4">
        <v>1</v>
      </c>
      <c r="AD4">
        <v>1</v>
      </c>
    </row>
    <row r="5" spans="1:30" x14ac:dyDescent="0.25">
      <c r="A5" s="1">
        <f>INDEX(Names, 3, 1)</f>
        <v>0</v>
      </c>
      <c r="B5" s="1">
        <f>INDEX(Names, 3, 2)</f>
        <v>0</v>
      </c>
      <c r="C5" s="5"/>
      <c r="D5" s="5"/>
      <c r="E5" s="5"/>
      <c r="F5" s="6"/>
      <c r="G5" s="6">
        <v>2</v>
      </c>
      <c r="H5" s="6"/>
      <c r="I5" s="6">
        <v>4</v>
      </c>
      <c r="J5" s="6"/>
      <c r="K5" s="6">
        <v>6</v>
      </c>
      <c r="L5" s="6">
        <v>6</v>
      </c>
      <c r="M5" s="3">
        <f t="shared" ref="M5:M30" si="0">SUM(G5+I5+K5)</f>
        <v>12</v>
      </c>
      <c r="N5" t="str">
        <f t="shared" ref="N5:N30" si="1">LOOKUP(M5,$P$4:$Q$7)</f>
        <v>methu/fail</v>
      </c>
      <c r="O5">
        <f t="shared" ref="O5:O30" si="2">IF(M5&gt;=15,1,0)</f>
        <v>0</v>
      </c>
      <c r="P5">
        <v>15</v>
      </c>
      <c r="Q5" t="s">
        <v>94</v>
      </c>
      <c r="AB5">
        <v>2</v>
      </c>
      <c r="AD5">
        <v>2</v>
      </c>
    </row>
    <row r="6" spans="1:30" x14ac:dyDescent="0.25">
      <c r="A6" s="1">
        <f>INDEX(Names, 4, 1)</f>
        <v>0</v>
      </c>
      <c r="B6" s="1">
        <f>INDEX(Names, 4, 2)</f>
        <v>0</v>
      </c>
      <c r="C6" s="5"/>
      <c r="D6" s="5"/>
      <c r="E6" s="5"/>
      <c r="F6" s="6"/>
      <c r="G6" s="6"/>
      <c r="H6" s="6"/>
      <c r="I6" s="6"/>
      <c r="J6" s="6"/>
      <c r="K6" s="6"/>
      <c r="L6" s="6"/>
      <c r="M6" s="3">
        <f t="shared" si="0"/>
        <v>0</v>
      </c>
      <c r="N6" t="str">
        <f t="shared" si="1"/>
        <v>methu/fail</v>
      </c>
      <c r="O6">
        <f t="shared" si="2"/>
        <v>0</v>
      </c>
      <c r="P6">
        <v>22</v>
      </c>
      <c r="Q6" t="s">
        <v>96</v>
      </c>
      <c r="AB6">
        <v>3</v>
      </c>
      <c r="AD6">
        <v>3</v>
      </c>
    </row>
    <row r="7" spans="1:30" x14ac:dyDescent="0.25">
      <c r="A7" s="1">
        <f>INDEX(Names, 5, 1)</f>
        <v>0</v>
      </c>
      <c r="B7" s="1">
        <f>INDEX(Names, 5, 2)</f>
        <v>0</v>
      </c>
      <c r="C7" s="5"/>
      <c r="D7" s="5"/>
      <c r="E7" s="5"/>
      <c r="F7" s="6"/>
      <c r="G7" s="6"/>
      <c r="H7" s="6"/>
      <c r="I7" s="6"/>
      <c r="J7" s="6"/>
      <c r="K7" s="6"/>
      <c r="L7" s="6"/>
      <c r="M7" s="3">
        <f t="shared" si="0"/>
        <v>0</v>
      </c>
      <c r="N7" t="str">
        <f t="shared" si="1"/>
        <v>methu/fail</v>
      </c>
      <c r="O7">
        <f t="shared" si="2"/>
        <v>0</v>
      </c>
      <c r="P7">
        <v>20</v>
      </c>
      <c r="Q7" t="s">
        <v>95</v>
      </c>
      <c r="AB7">
        <v>4</v>
      </c>
      <c r="AD7">
        <v>4</v>
      </c>
    </row>
    <row r="8" spans="1:30" x14ac:dyDescent="0.25">
      <c r="A8" s="1">
        <f>INDEX(Names, 6, 1)</f>
        <v>0</v>
      </c>
      <c r="B8" s="1">
        <f>INDEX(Names, 6, 2)</f>
        <v>0</v>
      </c>
      <c r="C8" s="5"/>
      <c r="D8" s="5"/>
      <c r="E8" s="5"/>
      <c r="F8" s="6"/>
      <c r="G8" s="6"/>
      <c r="H8" s="6"/>
      <c r="I8" s="6"/>
      <c r="J8" s="6"/>
      <c r="K8" s="6"/>
      <c r="L8" s="6"/>
      <c r="M8" s="3">
        <f t="shared" si="0"/>
        <v>0</v>
      </c>
      <c r="N8" t="str">
        <f t="shared" si="1"/>
        <v>methu/fail</v>
      </c>
      <c r="O8">
        <f t="shared" si="2"/>
        <v>0</v>
      </c>
      <c r="AD8">
        <v>5</v>
      </c>
    </row>
    <row r="9" spans="1:30" x14ac:dyDescent="0.25">
      <c r="A9" s="1">
        <f>INDEX(Names, 7, 1)</f>
        <v>0</v>
      </c>
      <c r="B9" s="1">
        <f>INDEX(Names, , 2)</f>
        <v>0</v>
      </c>
      <c r="C9" s="5"/>
      <c r="D9" s="5"/>
      <c r="E9" s="5"/>
      <c r="F9" s="6"/>
      <c r="G9" s="6"/>
      <c r="H9" s="6"/>
      <c r="I9" s="6"/>
      <c r="J9" s="6"/>
      <c r="K9" s="6"/>
      <c r="L9" s="6"/>
      <c r="M9" s="3">
        <f t="shared" si="0"/>
        <v>0</v>
      </c>
      <c r="N9" t="str">
        <f t="shared" si="1"/>
        <v>methu/fail</v>
      </c>
      <c r="O9">
        <f t="shared" si="2"/>
        <v>0</v>
      </c>
      <c r="AD9">
        <v>6</v>
      </c>
    </row>
    <row r="10" spans="1:30" x14ac:dyDescent="0.25">
      <c r="A10" s="1">
        <f>INDEX(Names, 8, 1)</f>
        <v>0</v>
      </c>
      <c r="B10" s="1">
        <f>INDEX(Names, 7, 2)</f>
        <v>0</v>
      </c>
      <c r="C10" s="5"/>
      <c r="D10" s="5"/>
      <c r="E10" s="5"/>
      <c r="F10" s="6"/>
      <c r="G10" s="6"/>
      <c r="H10" s="6"/>
      <c r="I10" s="6"/>
      <c r="J10" s="6"/>
      <c r="K10" s="6"/>
      <c r="L10" s="6"/>
      <c r="M10" s="3">
        <f t="shared" si="0"/>
        <v>0</v>
      </c>
      <c r="N10" t="str">
        <f t="shared" si="1"/>
        <v>methu/fail</v>
      </c>
      <c r="O10">
        <f t="shared" si="2"/>
        <v>0</v>
      </c>
      <c r="AD10">
        <v>7</v>
      </c>
    </row>
    <row r="11" spans="1:30" x14ac:dyDescent="0.25">
      <c r="A11" s="1">
        <f>INDEX(Names, 9, 1)</f>
        <v>0</v>
      </c>
      <c r="B11" s="1">
        <f>INDEX(Names, 8, 2)</f>
        <v>0</v>
      </c>
      <c r="C11" s="5"/>
      <c r="D11" s="5"/>
      <c r="E11" s="5"/>
      <c r="F11" s="6"/>
      <c r="G11" s="6"/>
      <c r="H11" s="6"/>
      <c r="I11" s="6"/>
      <c r="J11" s="6"/>
      <c r="K11" s="6"/>
      <c r="L11" s="6"/>
      <c r="M11" s="3">
        <f t="shared" si="0"/>
        <v>0</v>
      </c>
      <c r="N11" t="str">
        <f t="shared" si="1"/>
        <v>methu/fail</v>
      </c>
      <c r="O11">
        <f t="shared" si="2"/>
        <v>0</v>
      </c>
      <c r="P11">
        <v>1</v>
      </c>
      <c r="AD11">
        <v>8</v>
      </c>
    </row>
    <row r="12" spans="1:30" x14ac:dyDescent="0.25">
      <c r="A12" s="1">
        <f>INDEX(Names, 10, 1)</f>
        <v>0</v>
      </c>
      <c r="B12" s="1">
        <f>INDEX(Names, 9, 2)</f>
        <v>0</v>
      </c>
      <c r="C12" s="5"/>
      <c r="D12" s="5"/>
      <c r="E12" s="5"/>
      <c r="F12" s="6"/>
      <c r="G12" s="6"/>
      <c r="H12" s="6"/>
      <c r="I12" s="6"/>
      <c r="J12" s="6"/>
      <c r="K12" s="6"/>
      <c r="L12" s="6"/>
      <c r="M12" s="3">
        <f t="shared" si="0"/>
        <v>0</v>
      </c>
      <c r="N12" t="str">
        <f t="shared" si="1"/>
        <v>methu/fail</v>
      </c>
      <c r="O12">
        <f t="shared" si="2"/>
        <v>0</v>
      </c>
      <c r="P12">
        <v>1</v>
      </c>
      <c r="AD12">
        <v>9</v>
      </c>
    </row>
    <row r="13" spans="1:30" x14ac:dyDescent="0.25">
      <c r="A13" s="1">
        <f>INDEX(Names, 11, 1)</f>
        <v>0</v>
      </c>
      <c r="B13" s="1">
        <f>INDEX(Names, 10, 2)</f>
        <v>0</v>
      </c>
      <c r="C13" s="5"/>
      <c r="D13" s="5"/>
      <c r="E13" s="5"/>
      <c r="F13" s="6"/>
      <c r="G13" s="6"/>
      <c r="H13" s="6"/>
      <c r="I13" s="6"/>
      <c r="J13" s="6"/>
      <c r="K13" s="6"/>
      <c r="L13" s="6"/>
      <c r="M13" s="3">
        <f t="shared" si="0"/>
        <v>0</v>
      </c>
      <c r="N13" t="str">
        <f t="shared" si="1"/>
        <v>methu/fail</v>
      </c>
      <c r="O13">
        <f t="shared" si="2"/>
        <v>0</v>
      </c>
      <c r="AD13">
        <v>10</v>
      </c>
    </row>
    <row r="14" spans="1:30" x14ac:dyDescent="0.25">
      <c r="A14" s="1">
        <f>INDEX(Names, 12, 1)</f>
        <v>0</v>
      </c>
      <c r="B14" s="1">
        <f>INDEX(Names, 11, 2)</f>
        <v>0</v>
      </c>
      <c r="C14" s="5"/>
      <c r="D14" s="5"/>
      <c r="E14" s="5"/>
      <c r="F14" s="6"/>
      <c r="G14" s="6"/>
      <c r="H14" s="6"/>
      <c r="I14" s="6"/>
      <c r="J14" s="6"/>
      <c r="K14" s="6"/>
      <c r="L14" s="6"/>
      <c r="M14" s="3">
        <f t="shared" si="0"/>
        <v>0</v>
      </c>
      <c r="N14" t="str">
        <f t="shared" si="1"/>
        <v>methu/fail</v>
      </c>
      <c r="O14">
        <f t="shared" si="2"/>
        <v>0</v>
      </c>
      <c r="AD14">
        <v>11</v>
      </c>
    </row>
    <row r="15" spans="1:30" x14ac:dyDescent="0.25">
      <c r="A15" s="1">
        <f>INDEX(Names, 13, 1)</f>
        <v>0</v>
      </c>
      <c r="B15" s="1">
        <f>INDEX(Names, 12, 2)</f>
        <v>0</v>
      </c>
      <c r="C15" s="5"/>
      <c r="D15" s="5"/>
      <c r="E15" s="5"/>
      <c r="F15" s="6"/>
      <c r="G15" s="6"/>
      <c r="H15" s="6"/>
      <c r="I15" s="6"/>
      <c r="J15" s="6"/>
      <c r="K15" s="6"/>
      <c r="L15" s="6"/>
      <c r="M15" s="3">
        <f t="shared" si="0"/>
        <v>0</v>
      </c>
      <c r="N15" t="str">
        <f t="shared" si="1"/>
        <v>methu/fail</v>
      </c>
      <c r="O15">
        <f t="shared" si="2"/>
        <v>0</v>
      </c>
      <c r="AD15">
        <v>12</v>
      </c>
    </row>
    <row r="16" spans="1:30" x14ac:dyDescent="0.25">
      <c r="A16" s="1">
        <f>INDEX(Names, 14, 1)</f>
        <v>0</v>
      </c>
      <c r="B16" s="1">
        <f>INDEX(Names, 13, 2)</f>
        <v>0</v>
      </c>
      <c r="C16" s="5"/>
      <c r="D16" s="5"/>
      <c r="E16" s="5"/>
      <c r="F16" s="6"/>
      <c r="G16" s="6"/>
      <c r="H16" s="6"/>
      <c r="I16" s="6"/>
      <c r="J16" s="6"/>
      <c r="K16" s="6"/>
      <c r="L16" s="6"/>
      <c r="M16" s="3">
        <f t="shared" si="0"/>
        <v>0</v>
      </c>
      <c r="N16" t="str">
        <f t="shared" si="1"/>
        <v>methu/fail</v>
      </c>
      <c r="O16">
        <f t="shared" si="2"/>
        <v>0</v>
      </c>
    </row>
    <row r="17" spans="1:15" x14ac:dyDescent="0.25">
      <c r="A17" s="1">
        <f>INDEX(Names, 15, 1)</f>
        <v>0</v>
      </c>
      <c r="B17" s="1">
        <f>INDEX(Names, 14, 2)</f>
        <v>0</v>
      </c>
      <c r="C17" s="5"/>
      <c r="D17" s="5"/>
      <c r="E17" s="5"/>
      <c r="F17" s="6"/>
      <c r="G17" s="6"/>
      <c r="H17" s="6"/>
      <c r="I17" s="6"/>
      <c r="J17" s="6"/>
      <c r="K17" s="6"/>
      <c r="L17" s="6"/>
      <c r="M17" s="3">
        <f t="shared" si="0"/>
        <v>0</v>
      </c>
      <c r="N17" t="str">
        <f t="shared" si="1"/>
        <v>methu/fail</v>
      </c>
      <c r="O17">
        <f t="shared" si="2"/>
        <v>0</v>
      </c>
    </row>
    <row r="18" spans="1:15" x14ac:dyDescent="0.25">
      <c r="A18" s="1">
        <f>INDEX(Names, 16, 1)</f>
        <v>0</v>
      </c>
      <c r="B18" s="1">
        <f>INDEX(Names, 15, 2)</f>
        <v>0</v>
      </c>
      <c r="C18" s="5"/>
      <c r="D18" s="5"/>
      <c r="E18" s="5"/>
      <c r="F18" s="6"/>
      <c r="G18" s="6"/>
      <c r="H18" s="6"/>
      <c r="I18" s="6"/>
      <c r="J18" s="6"/>
      <c r="K18" s="6"/>
      <c r="L18" s="6"/>
      <c r="M18" s="3">
        <f t="shared" si="0"/>
        <v>0</v>
      </c>
      <c r="N18" t="str">
        <f t="shared" si="1"/>
        <v>methu/fail</v>
      </c>
      <c r="O18">
        <f t="shared" si="2"/>
        <v>0</v>
      </c>
    </row>
    <row r="19" spans="1:15" x14ac:dyDescent="0.25">
      <c r="A19" s="1">
        <f>INDEX(Names, 17, 1)</f>
        <v>0</v>
      </c>
      <c r="B19" s="1">
        <f>INDEX(Names, 16, 2)</f>
        <v>0</v>
      </c>
      <c r="C19" s="5"/>
      <c r="D19" s="5"/>
      <c r="E19" s="5"/>
      <c r="F19" s="6"/>
      <c r="G19" s="6"/>
      <c r="H19" s="6"/>
      <c r="I19" s="6"/>
      <c r="J19" s="6"/>
      <c r="K19" s="6"/>
      <c r="L19" s="6"/>
      <c r="M19" s="3">
        <f t="shared" si="0"/>
        <v>0</v>
      </c>
      <c r="N19" t="str">
        <f t="shared" si="1"/>
        <v>methu/fail</v>
      </c>
      <c r="O19">
        <f t="shared" si="2"/>
        <v>0</v>
      </c>
    </row>
    <row r="20" spans="1:15" x14ac:dyDescent="0.25">
      <c r="A20" s="1">
        <f>INDEX(Names, 18, 1)</f>
        <v>0</v>
      </c>
      <c r="B20" s="1">
        <f>INDEX(Names, 17, 2)</f>
        <v>0</v>
      </c>
      <c r="C20" s="5"/>
      <c r="D20" s="5"/>
      <c r="E20" s="5"/>
      <c r="F20" s="6"/>
      <c r="G20" s="6"/>
      <c r="H20" s="6"/>
      <c r="I20" s="6"/>
      <c r="J20" s="6"/>
      <c r="K20" s="6"/>
      <c r="L20" s="6"/>
      <c r="M20" s="3">
        <f t="shared" si="0"/>
        <v>0</v>
      </c>
      <c r="N20" t="str">
        <f t="shared" si="1"/>
        <v>methu/fail</v>
      </c>
      <c r="O20">
        <f t="shared" si="2"/>
        <v>0</v>
      </c>
    </row>
    <row r="21" spans="1:15" x14ac:dyDescent="0.25">
      <c r="A21" s="1">
        <f>INDEX(Names, 19, 1)</f>
        <v>0</v>
      </c>
      <c r="B21" s="1">
        <f>INDEX(Names, 18, 2)</f>
        <v>0</v>
      </c>
      <c r="C21" s="5"/>
      <c r="D21" s="5"/>
      <c r="E21" s="5"/>
      <c r="F21" s="6"/>
      <c r="G21" s="6"/>
      <c r="H21" s="6"/>
      <c r="I21" s="6"/>
      <c r="J21" s="6"/>
      <c r="K21" s="6"/>
      <c r="L21" s="6"/>
      <c r="M21" s="3">
        <f t="shared" si="0"/>
        <v>0</v>
      </c>
      <c r="N21" t="str">
        <f t="shared" si="1"/>
        <v>methu/fail</v>
      </c>
      <c r="O21">
        <f t="shared" si="2"/>
        <v>0</v>
      </c>
    </row>
    <row r="22" spans="1:15" x14ac:dyDescent="0.25">
      <c r="A22" s="1">
        <f>INDEX(Names, 20, 1)</f>
        <v>0</v>
      </c>
      <c r="B22" s="1">
        <f>INDEX(Names, 19, 2)</f>
        <v>0</v>
      </c>
      <c r="C22" s="5"/>
      <c r="D22" s="5"/>
      <c r="E22" s="5"/>
      <c r="F22" s="6"/>
      <c r="G22" s="6"/>
      <c r="H22" s="6"/>
      <c r="I22" s="6"/>
      <c r="J22" s="6"/>
      <c r="K22" s="6"/>
      <c r="L22" s="6"/>
      <c r="M22" s="3">
        <f>SUM(G22+I22+K22)</f>
        <v>0</v>
      </c>
      <c r="N22" t="str">
        <f t="shared" si="1"/>
        <v>methu/fail</v>
      </c>
      <c r="O22">
        <f t="shared" si="2"/>
        <v>0</v>
      </c>
    </row>
    <row r="23" spans="1:15" x14ac:dyDescent="0.25">
      <c r="A23" s="1">
        <f>INDEX(Names, 21, 1)</f>
        <v>0</v>
      </c>
      <c r="B23" s="1">
        <f>INDEX(Names, 20, 2)</f>
        <v>0</v>
      </c>
      <c r="C23" s="5"/>
      <c r="D23" s="5"/>
      <c r="E23" s="5"/>
      <c r="F23" s="6"/>
      <c r="G23" s="6"/>
      <c r="H23" s="6"/>
      <c r="I23" s="6"/>
      <c r="J23" s="6"/>
      <c r="K23" s="6"/>
      <c r="L23" s="6"/>
      <c r="M23" s="3">
        <f t="shared" si="0"/>
        <v>0</v>
      </c>
      <c r="N23" t="str">
        <f t="shared" si="1"/>
        <v>methu/fail</v>
      </c>
      <c r="O23">
        <f t="shared" si="2"/>
        <v>0</v>
      </c>
    </row>
    <row r="24" spans="1:15" x14ac:dyDescent="0.25">
      <c r="A24" s="1">
        <f>INDEX(Names, 22, 1)</f>
        <v>0</v>
      </c>
      <c r="B24" s="1">
        <f>INDEX(Names, 21, 2)</f>
        <v>0</v>
      </c>
      <c r="C24" s="5"/>
      <c r="D24" s="5"/>
      <c r="E24" s="5"/>
      <c r="F24" s="6"/>
      <c r="G24" s="6"/>
      <c r="H24" s="6"/>
      <c r="I24" s="6"/>
      <c r="J24" s="6"/>
      <c r="K24" s="6"/>
      <c r="L24" s="6"/>
      <c r="M24" s="3">
        <f t="shared" si="0"/>
        <v>0</v>
      </c>
      <c r="N24" t="str">
        <f t="shared" si="1"/>
        <v>methu/fail</v>
      </c>
      <c r="O24">
        <f t="shared" si="2"/>
        <v>0</v>
      </c>
    </row>
    <row r="25" spans="1:15" x14ac:dyDescent="0.25">
      <c r="A25" s="1">
        <f>INDEX(Names, 23, 1)</f>
        <v>0</v>
      </c>
      <c r="B25" s="1">
        <f>INDEX(Names, 22, 2)</f>
        <v>0</v>
      </c>
      <c r="C25" s="5"/>
      <c r="D25" s="5"/>
      <c r="E25" s="5"/>
      <c r="F25" s="6"/>
      <c r="G25" s="6"/>
      <c r="H25" s="6"/>
      <c r="I25" s="6"/>
      <c r="J25" s="6"/>
      <c r="K25" s="6"/>
      <c r="L25" s="6"/>
      <c r="M25" s="3">
        <f t="shared" si="0"/>
        <v>0</v>
      </c>
      <c r="N25" t="str">
        <f t="shared" si="1"/>
        <v>methu/fail</v>
      </c>
      <c r="O25">
        <f t="shared" si="2"/>
        <v>0</v>
      </c>
    </row>
    <row r="26" spans="1:15" x14ac:dyDescent="0.25">
      <c r="A26" s="1">
        <f>INDEX(Names, 24, 1)</f>
        <v>0</v>
      </c>
      <c r="B26" s="1">
        <f>INDEX(Names, 23, 2)</f>
        <v>0</v>
      </c>
      <c r="C26" s="5"/>
      <c r="D26" s="5"/>
      <c r="E26" s="5"/>
      <c r="F26" s="6"/>
      <c r="G26" s="6"/>
      <c r="H26" s="6"/>
      <c r="I26" s="6"/>
      <c r="J26" s="6"/>
      <c r="K26" s="6"/>
      <c r="L26" s="6"/>
      <c r="M26" s="3">
        <f t="shared" si="0"/>
        <v>0</v>
      </c>
      <c r="N26" t="str">
        <f t="shared" si="1"/>
        <v>methu/fail</v>
      </c>
      <c r="O26">
        <f t="shared" si="2"/>
        <v>0</v>
      </c>
    </row>
    <row r="27" spans="1:15" x14ac:dyDescent="0.25">
      <c r="A27" s="1">
        <f>INDEX(Names, 25, 1)</f>
        <v>0</v>
      </c>
      <c r="B27" s="1">
        <f>INDEX(Names, 24, 2)</f>
        <v>0</v>
      </c>
      <c r="C27" s="5"/>
      <c r="D27" s="5"/>
      <c r="E27" s="5"/>
      <c r="F27" s="6"/>
      <c r="G27" s="6"/>
      <c r="H27" s="6"/>
      <c r="I27" s="6"/>
      <c r="J27" s="6"/>
      <c r="K27" s="6"/>
      <c r="L27" s="6"/>
      <c r="M27" s="3">
        <f t="shared" si="0"/>
        <v>0</v>
      </c>
      <c r="N27" t="str">
        <f t="shared" si="1"/>
        <v>methu/fail</v>
      </c>
      <c r="O27">
        <f t="shared" si="2"/>
        <v>0</v>
      </c>
    </row>
    <row r="28" spans="1:15" x14ac:dyDescent="0.25">
      <c r="A28" s="1">
        <f>INDEX(Names, 26, 1)</f>
        <v>0</v>
      </c>
      <c r="B28" s="1">
        <f>INDEX(Names, 25, 2)</f>
        <v>0</v>
      </c>
      <c r="C28" s="5"/>
      <c r="D28" s="5"/>
      <c r="E28" s="5"/>
      <c r="F28" s="6"/>
      <c r="G28" s="6"/>
      <c r="H28" s="6"/>
      <c r="I28" s="6"/>
      <c r="J28" s="6"/>
      <c r="K28" s="6"/>
      <c r="L28" s="6"/>
      <c r="M28" s="3">
        <f t="shared" si="0"/>
        <v>0</v>
      </c>
      <c r="N28" t="str">
        <f t="shared" si="1"/>
        <v>methu/fail</v>
      </c>
      <c r="O28">
        <f t="shared" si="2"/>
        <v>0</v>
      </c>
    </row>
    <row r="29" spans="1:15" x14ac:dyDescent="0.25">
      <c r="A29" s="1">
        <f>INDEX(Names, 27, 1)</f>
        <v>0</v>
      </c>
      <c r="B29" s="1">
        <f>INDEX(Names, 26, 2)</f>
        <v>0</v>
      </c>
      <c r="C29" s="5"/>
      <c r="D29" s="5"/>
      <c r="E29" s="5"/>
      <c r="F29" s="6"/>
      <c r="G29" s="6"/>
      <c r="H29" s="6"/>
      <c r="I29" s="6"/>
      <c r="J29" s="6"/>
      <c r="K29" s="6"/>
      <c r="L29" s="6"/>
      <c r="M29" s="3">
        <f t="shared" si="0"/>
        <v>0</v>
      </c>
      <c r="N29" t="str">
        <f t="shared" si="1"/>
        <v>methu/fail</v>
      </c>
      <c r="O29">
        <f t="shared" si="2"/>
        <v>0</v>
      </c>
    </row>
    <row r="30" spans="1:15" x14ac:dyDescent="0.25">
      <c r="A30" s="1">
        <f>INDEX(Names, 28, 1)</f>
        <v>0</v>
      </c>
      <c r="B30" s="1">
        <f>INDEX(Names, 27, 2)</f>
        <v>0</v>
      </c>
      <c r="C30" s="5"/>
      <c r="D30" s="5"/>
      <c r="E30" s="5"/>
      <c r="F30" s="6"/>
      <c r="G30" s="6"/>
      <c r="H30" s="6"/>
      <c r="I30" s="6"/>
      <c r="J30" s="6"/>
      <c r="K30" s="6"/>
      <c r="L30" s="6"/>
      <c r="M30" s="3">
        <f t="shared" si="0"/>
        <v>0</v>
      </c>
      <c r="N30" t="str">
        <f t="shared" si="1"/>
        <v>methu/fail</v>
      </c>
      <c r="O30">
        <f t="shared" si="2"/>
        <v>0</v>
      </c>
    </row>
  </sheetData>
  <mergeCells count="5">
    <mergeCell ref="A2:B2"/>
    <mergeCell ref="C2:E2"/>
    <mergeCell ref="F2:G2"/>
    <mergeCell ref="H2:I2"/>
    <mergeCell ref="J2:K2"/>
  </mergeCells>
  <conditionalFormatting sqref="C4:C30">
    <cfRule type="containsText" dxfId="43" priority="5" operator="containsText" text="N">
      <formula>NOT(ISERROR(SEARCH("N",C4)))</formula>
    </cfRule>
    <cfRule type="containsText" dxfId="42" priority="6" operator="containsText" text="Y">
      <formula>NOT(ISERROR(SEARCH("Y",C4)))</formula>
    </cfRule>
  </conditionalFormatting>
  <conditionalFormatting sqref="D4:D30">
    <cfRule type="containsText" dxfId="41" priority="3" operator="containsText" text="N">
      <formula>NOT(ISERROR(SEARCH("N",D4)))</formula>
    </cfRule>
    <cfRule type="containsText" dxfId="40" priority="4" operator="containsText" text="Y">
      <formula>NOT(ISERROR(SEARCH("Y",D4)))</formula>
    </cfRule>
  </conditionalFormatting>
  <conditionalFormatting sqref="E4:E30">
    <cfRule type="containsText" dxfId="39" priority="1" operator="containsText" text="N">
      <formula>NOT(ISERROR(SEARCH("N",E4)))</formula>
    </cfRule>
    <cfRule type="containsText" dxfId="38" priority="2" operator="containsText" text="Y">
      <formula>NOT(ISERROR(SEARCH("Y",E4)))</formula>
    </cfRule>
  </conditionalFormatting>
  <dataValidations count="2">
    <dataValidation type="list" allowBlank="1" showInputMessage="1" showErrorMessage="1" sqref="F4:F30 H4:H30 J4:J30">
      <formula1>Band</formula1>
    </dataValidation>
    <dataValidation type="list" allowBlank="1" showInputMessage="1" showErrorMessage="1" sqref="I4:I30 G4:G30 K4:L30">
      <formula1>$AD$4:$AD$12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Q7" sqref="Q7"/>
    </sheetView>
  </sheetViews>
  <sheetFormatPr defaultRowHeight="15" x14ac:dyDescent="0.25"/>
  <cols>
    <col min="1" max="1" width="12.85546875" customWidth="1"/>
    <col min="2" max="2" width="16.140625" customWidth="1"/>
    <col min="3" max="3" width="17.5703125" customWidth="1"/>
    <col min="4" max="4" width="14.140625" customWidth="1"/>
    <col min="5" max="5" width="14.5703125" customWidth="1"/>
    <col min="6" max="6" width="0" hidden="1" customWidth="1"/>
    <col min="8" max="8" width="0" hidden="1" customWidth="1"/>
    <col min="10" max="10" width="0" hidden="1" customWidth="1"/>
    <col min="12" max="12" width="11.42578125" style="2" customWidth="1"/>
    <col min="14" max="14" width="2" bestFit="1" customWidth="1"/>
  </cols>
  <sheetData>
    <row r="1" spans="1:17" ht="18.75" x14ac:dyDescent="0.3">
      <c r="A1" s="7" t="s">
        <v>74</v>
      </c>
    </row>
    <row r="2" spans="1:17" ht="15.75" x14ac:dyDescent="0.25">
      <c r="A2" s="52" t="s">
        <v>63</v>
      </c>
      <c r="B2" s="53"/>
      <c r="C2" s="51" t="s">
        <v>35</v>
      </c>
      <c r="D2" s="51"/>
      <c r="E2" s="51"/>
      <c r="F2" s="47" t="s">
        <v>64</v>
      </c>
      <c r="G2" s="47"/>
      <c r="H2" s="47" t="s">
        <v>65</v>
      </c>
      <c r="I2" s="47"/>
      <c r="J2" s="47" t="s">
        <v>66</v>
      </c>
      <c r="K2" s="47"/>
      <c r="L2" s="14"/>
    </row>
    <row r="3" spans="1:17" ht="64.5" customHeight="1" x14ac:dyDescent="0.25">
      <c r="A3" s="9" t="s">
        <v>68</v>
      </c>
      <c r="B3" s="9" t="s">
        <v>69</v>
      </c>
      <c r="C3" s="13" t="s">
        <v>75</v>
      </c>
      <c r="D3" s="13" t="s">
        <v>76</v>
      </c>
      <c r="E3" s="13" t="s">
        <v>34</v>
      </c>
      <c r="F3" s="22" t="s">
        <v>4</v>
      </c>
      <c r="G3" s="22" t="s">
        <v>32</v>
      </c>
      <c r="H3" s="22" t="s">
        <v>4</v>
      </c>
      <c r="I3" s="22" t="s">
        <v>32</v>
      </c>
      <c r="J3" s="22" t="s">
        <v>4</v>
      </c>
      <c r="K3" s="22" t="s">
        <v>33</v>
      </c>
      <c r="L3" s="62" t="s">
        <v>73</v>
      </c>
    </row>
    <row r="4" spans="1:17" x14ac:dyDescent="0.25">
      <c r="A4" s="1"/>
      <c r="B4" s="1" t="str">
        <f>INDEX(Names, 2, 2)</f>
        <v>James</v>
      </c>
      <c r="C4" s="1" t="s">
        <v>17</v>
      </c>
      <c r="D4" s="1" t="s">
        <v>17</v>
      </c>
      <c r="E4" s="1" t="s">
        <v>17</v>
      </c>
      <c r="F4" s="6">
        <v>1</v>
      </c>
      <c r="G4" s="6">
        <v>5</v>
      </c>
      <c r="H4" s="6">
        <v>1</v>
      </c>
      <c r="I4" s="6">
        <v>8</v>
      </c>
      <c r="J4" s="6">
        <v>1</v>
      </c>
      <c r="K4" s="6">
        <v>8</v>
      </c>
      <c r="L4" s="3">
        <f>SUM(G4+I4+K4)</f>
        <v>21</v>
      </c>
      <c r="M4" t="str">
        <f>LOOKUP(L4,$P$4:$Q$7)</f>
        <v xml:space="preserve">Teilyngdod/Merit </v>
      </c>
      <c r="N4">
        <f>IF(L4&gt;=11,1,0)</f>
        <v>1</v>
      </c>
      <c r="P4">
        <v>0</v>
      </c>
      <c r="Q4" t="s">
        <v>93</v>
      </c>
    </row>
    <row r="5" spans="1:17" x14ac:dyDescent="0.25">
      <c r="A5" s="1">
        <f>INDEX(Names, 3, 1)</f>
        <v>0</v>
      </c>
      <c r="B5" s="1">
        <f>INDEX(Names, 3, 2)</f>
        <v>0</v>
      </c>
      <c r="C5" s="1"/>
      <c r="D5" s="1"/>
      <c r="E5" s="1"/>
      <c r="F5" s="6"/>
      <c r="G5" s="6"/>
      <c r="H5" s="6"/>
      <c r="I5" s="6"/>
      <c r="J5" s="6"/>
      <c r="K5" s="6">
        <v>1</v>
      </c>
      <c r="L5" s="3">
        <f t="shared" ref="L5:L30" si="0">SUM(G5+I5+K5)</f>
        <v>1</v>
      </c>
      <c r="M5" t="str">
        <f t="shared" ref="M5:M30" si="1">LOOKUP(L5,$P$4:$Q$7)</f>
        <v>methu/fail</v>
      </c>
      <c r="N5">
        <f t="shared" ref="N5:N30" si="2">IF(L5&gt;=11,1,0)</f>
        <v>0</v>
      </c>
      <c r="P5">
        <v>11</v>
      </c>
      <c r="Q5" t="s">
        <v>94</v>
      </c>
    </row>
    <row r="6" spans="1:17" x14ac:dyDescent="0.25">
      <c r="A6" s="1">
        <f>INDEX(Names, 4, 1)</f>
        <v>0</v>
      </c>
      <c r="B6" s="1">
        <f>INDEX(Names, 4, 2)</f>
        <v>0</v>
      </c>
      <c r="C6" s="1"/>
      <c r="D6" s="1"/>
      <c r="E6" s="1"/>
      <c r="F6" s="6"/>
      <c r="G6" s="6"/>
      <c r="H6" s="6"/>
      <c r="I6" s="6"/>
      <c r="J6" s="6"/>
      <c r="K6" s="6"/>
      <c r="L6" s="3">
        <f t="shared" si="0"/>
        <v>0</v>
      </c>
      <c r="M6" t="str">
        <f t="shared" si="1"/>
        <v>methu/fail</v>
      </c>
      <c r="N6">
        <f t="shared" si="2"/>
        <v>0</v>
      </c>
      <c r="P6">
        <v>17</v>
      </c>
      <c r="Q6" t="s">
        <v>96</v>
      </c>
    </row>
    <row r="7" spans="1:17" x14ac:dyDescent="0.25">
      <c r="A7" s="1">
        <f>INDEX(Names, 5, 1)</f>
        <v>0</v>
      </c>
      <c r="B7" s="1">
        <f>INDEX(Names, 5, 2)</f>
        <v>0</v>
      </c>
      <c r="C7" s="1"/>
      <c r="D7" s="1"/>
      <c r="E7" s="1"/>
      <c r="F7" s="6"/>
      <c r="G7" s="6"/>
      <c r="H7" s="6"/>
      <c r="I7" s="6"/>
      <c r="J7" s="6"/>
      <c r="K7" s="6"/>
      <c r="L7" s="3">
        <f t="shared" si="0"/>
        <v>0</v>
      </c>
      <c r="M7" t="str">
        <f t="shared" si="1"/>
        <v>methu/fail</v>
      </c>
      <c r="N7">
        <f t="shared" si="2"/>
        <v>0</v>
      </c>
      <c r="P7">
        <v>22</v>
      </c>
      <c r="Q7" t="s">
        <v>95</v>
      </c>
    </row>
    <row r="8" spans="1:17" x14ac:dyDescent="0.25">
      <c r="A8" s="1">
        <f>INDEX(Names, 6, 1)</f>
        <v>0</v>
      </c>
      <c r="B8" s="1">
        <f>INDEX(Names, 6, 2)</f>
        <v>0</v>
      </c>
      <c r="C8" s="1"/>
      <c r="D8" s="1"/>
      <c r="E8" s="1"/>
      <c r="F8" s="6"/>
      <c r="G8" s="6"/>
      <c r="H8" s="6"/>
      <c r="I8" s="6"/>
      <c r="J8" s="6"/>
      <c r="K8" s="6"/>
      <c r="L8" s="3">
        <f t="shared" si="0"/>
        <v>0</v>
      </c>
      <c r="M8" t="str">
        <f t="shared" si="1"/>
        <v>methu/fail</v>
      </c>
      <c r="N8">
        <f t="shared" si="2"/>
        <v>0</v>
      </c>
    </row>
    <row r="9" spans="1:17" x14ac:dyDescent="0.25">
      <c r="A9" s="1">
        <f>INDEX(Names, 7, 1)</f>
        <v>0</v>
      </c>
      <c r="B9" s="1">
        <f>INDEX(Names, , 2)</f>
        <v>0</v>
      </c>
      <c r="C9" s="1"/>
      <c r="D9" s="1"/>
      <c r="E9" s="1"/>
      <c r="F9" s="6"/>
      <c r="G9" s="6"/>
      <c r="H9" s="6"/>
      <c r="I9" s="6"/>
      <c r="J9" s="6"/>
      <c r="K9" s="6"/>
      <c r="L9" s="3">
        <f t="shared" si="0"/>
        <v>0</v>
      </c>
      <c r="M9" t="str">
        <f t="shared" si="1"/>
        <v>methu/fail</v>
      </c>
      <c r="N9">
        <f t="shared" si="2"/>
        <v>0</v>
      </c>
    </row>
    <row r="10" spans="1:17" x14ac:dyDescent="0.25">
      <c r="A10" s="1">
        <f>INDEX(Names, 8, 1)</f>
        <v>0</v>
      </c>
      <c r="B10" s="1">
        <f>INDEX(Names, 7, 2)</f>
        <v>0</v>
      </c>
      <c r="C10" s="1"/>
      <c r="D10" s="1"/>
      <c r="E10" s="1"/>
      <c r="F10" s="6"/>
      <c r="G10" s="6"/>
      <c r="H10" s="6"/>
      <c r="I10" s="6"/>
      <c r="J10" s="6"/>
      <c r="K10" s="6"/>
      <c r="L10" s="3">
        <f t="shared" si="0"/>
        <v>0</v>
      </c>
      <c r="M10" t="str">
        <f t="shared" si="1"/>
        <v>methu/fail</v>
      </c>
      <c r="N10">
        <f t="shared" si="2"/>
        <v>0</v>
      </c>
    </row>
    <row r="11" spans="1:17" x14ac:dyDescent="0.25">
      <c r="A11" s="1">
        <f>INDEX(Names, 9, 1)</f>
        <v>0</v>
      </c>
      <c r="B11" s="1">
        <f>INDEX(Names, 8, 2)</f>
        <v>0</v>
      </c>
      <c r="C11" s="1"/>
      <c r="D11" s="1"/>
      <c r="E11" s="1"/>
      <c r="F11" s="6"/>
      <c r="G11" s="6"/>
      <c r="H11" s="6"/>
      <c r="I11" s="6"/>
      <c r="J11" s="6"/>
      <c r="K11" s="6"/>
      <c r="L11" s="3">
        <f t="shared" si="0"/>
        <v>0</v>
      </c>
      <c r="M11" t="str">
        <f t="shared" si="1"/>
        <v>methu/fail</v>
      </c>
      <c r="N11">
        <f t="shared" si="2"/>
        <v>0</v>
      </c>
    </row>
    <row r="12" spans="1:17" x14ac:dyDescent="0.25">
      <c r="A12" s="1">
        <f>INDEX(Names, 10, 1)</f>
        <v>0</v>
      </c>
      <c r="B12" s="1">
        <f>INDEX(Names, 9, 2)</f>
        <v>0</v>
      </c>
      <c r="C12" s="1"/>
      <c r="D12" s="1"/>
      <c r="E12" s="1"/>
      <c r="F12" s="6"/>
      <c r="G12" s="6"/>
      <c r="H12" s="6"/>
      <c r="I12" s="6"/>
      <c r="J12" s="6"/>
      <c r="K12" s="6"/>
      <c r="L12" s="3">
        <f t="shared" si="0"/>
        <v>0</v>
      </c>
      <c r="M12" t="str">
        <f t="shared" si="1"/>
        <v>methu/fail</v>
      </c>
      <c r="N12">
        <f t="shared" si="2"/>
        <v>0</v>
      </c>
    </row>
    <row r="13" spans="1:17" x14ac:dyDescent="0.25">
      <c r="A13" s="1">
        <f>INDEX(Names, 11, 1)</f>
        <v>0</v>
      </c>
      <c r="B13" s="1">
        <f>INDEX(Names, 10, 2)</f>
        <v>0</v>
      </c>
      <c r="C13" s="1"/>
      <c r="D13" s="1"/>
      <c r="E13" s="1"/>
      <c r="F13" s="6"/>
      <c r="G13" s="6"/>
      <c r="H13" s="6"/>
      <c r="I13" s="6"/>
      <c r="J13" s="6"/>
      <c r="K13" s="6"/>
      <c r="L13" s="3">
        <f t="shared" si="0"/>
        <v>0</v>
      </c>
      <c r="M13" t="str">
        <f t="shared" si="1"/>
        <v>methu/fail</v>
      </c>
      <c r="N13">
        <f t="shared" si="2"/>
        <v>0</v>
      </c>
    </row>
    <row r="14" spans="1:17" x14ac:dyDescent="0.25">
      <c r="A14" s="1">
        <f>INDEX(Names, 12, 1)</f>
        <v>0</v>
      </c>
      <c r="B14" s="1">
        <f>INDEX(Names, 11, 2)</f>
        <v>0</v>
      </c>
      <c r="C14" s="1"/>
      <c r="D14" s="1"/>
      <c r="E14" s="1"/>
      <c r="F14" s="6"/>
      <c r="G14" s="6"/>
      <c r="H14" s="6"/>
      <c r="I14" s="6"/>
      <c r="J14" s="6"/>
      <c r="K14" s="6"/>
      <c r="L14" s="3">
        <f t="shared" si="0"/>
        <v>0</v>
      </c>
      <c r="M14" t="str">
        <f t="shared" si="1"/>
        <v>methu/fail</v>
      </c>
      <c r="N14">
        <f t="shared" si="2"/>
        <v>0</v>
      </c>
    </row>
    <row r="15" spans="1:17" x14ac:dyDescent="0.25">
      <c r="A15" s="1">
        <f>INDEX(Names, 13, 1)</f>
        <v>0</v>
      </c>
      <c r="B15" s="1">
        <f>INDEX(Names, 12, 2)</f>
        <v>0</v>
      </c>
      <c r="C15" s="1"/>
      <c r="D15" s="1"/>
      <c r="E15" s="1"/>
      <c r="F15" s="6"/>
      <c r="G15" s="6"/>
      <c r="H15" s="6"/>
      <c r="I15" s="6"/>
      <c r="J15" s="6"/>
      <c r="K15" s="6"/>
      <c r="L15" s="3">
        <f t="shared" si="0"/>
        <v>0</v>
      </c>
      <c r="M15" t="str">
        <f t="shared" si="1"/>
        <v>methu/fail</v>
      </c>
      <c r="N15">
        <f t="shared" si="2"/>
        <v>0</v>
      </c>
    </row>
    <row r="16" spans="1:17" x14ac:dyDescent="0.25">
      <c r="A16" s="1">
        <f>INDEX(Names, 14, 1)</f>
        <v>0</v>
      </c>
      <c r="B16" s="1">
        <f>INDEX(Names, 13, 2)</f>
        <v>0</v>
      </c>
      <c r="C16" s="1"/>
      <c r="D16" s="1"/>
      <c r="E16" s="1"/>
      <c r="F16" s="6"/>
      <c r="G16" s="6"/>
      <c r="H16" s="6"/>
      <c r="I16" s="6"/>
      <c r="J16" s="6"/>
      <c r="K16" s="6"/>
      <c r="L16" s="3">
        <f t="shared" si="0"/>
        <v>0</v>
      </c>
      <c r="M16" t="str">
        <f t="shared" si="1"/>
        <v>methu/fail</v>
      </c>
      <c r="N16">
        <f t="shared" si="2"/>
        <v>0</v>
      </c>
    </row>
    <row r="17" spans="1:14" x14ac:dyDescent="0.25">
      <c r="A17" s="1">
        <f>INDEX(Names, 15, 1)</f>
        <v>0</v>
      </c>
      <c r="B17" s="1">
        <f>INDEX(Names, 14, 2)</f>
        <v>0</v>
      </c>
      <c r="C17" s="1"/>
      <c r="D17" s="1"/>
      <c r="E17" s="1"/>
      <c r="F17" s="6"/>
      <c r="G17" s="6"/>
      <c r="H17" s="6"/>
      <c r="I17" s="6"/>
      <c r="J17" s="6"/>
      <c r="K17" s="6"/>
      <c r="L17" s="3">
        <f t="shared" si="0"/>
        <v>0</v>
      </c>
      <c r="M17" t="str">
        <f t="shared" si="1"/>
        <v>methu/fail</v>
      </c>
      <c r="N17">
        <f t="shared" si="2"/>
        <v>0</v>
      </c>
    </row>
    <row r="18" spans="1:14" x14ac:dyDescent="0.25">
      <c r="A18" s="1">
        <f>INDEX(Names, 16, 1)</f>
        <v>0</v>
      </c>
      <c r="B18" s="1">
        <f>INDEX(Names, 15, 2)</f>
        <v>0</v>
      </c>
      <c r="C18" s="1"/>
      <c r="D18" s="1"/>
      <c r="E18" s="1"/>
      <c r="F18" s="6"/>
      <c r="G18" s="6"/>
      <c r="H18" s="6"/>
      <c r="I18" s="6"/>
      <c r="J18" s="6"/>
      <c r="K18" s="6"/>
      <c r="L18" s="3">
        <f t="shared" si="0"/>
        <v>0</v>
      </c>
      <c r="M18" t="str">
        <f t="shared" si="1"/>
        <v>methu/fail</v>
      </c>
      <c r="N18">
        <f t="shared" si="2"/>
        <v>0</v>
      </c>
    </row>
    <row r="19" spans="1:14" x14ac:dyDescent="0.25">
      <c r="A19" s="1">
        <f>INDEX(Names, 17, 1)</f>
        <v>0</v>
      </c>
      <c r="B19" s="1">
        <f>INDEX(Names, 16, 2)</f>
        <v>0</v>
      </c>
      <c r="C19" s="1"/>
      <c r="D19" s="1"/>
      <c r="E19" s="1"/>
      <c r="F19" s="6"/>
      <c r="G19" s="6"/>
      <c r="H19" s="6"/>
      <c r="I19" s="6"/>
      <c r="J19" s="6"/>
      <c r="K19" s="6"/>
      <c r="L19" s="3">
        <f t="shared" si="0"/>
        <v>0</v>
      </c>
      <c r="M19" t="str">
        <f t="shared" si="1"/>
        <v>methu/fail</v>
      </c>
      <c r="N19">
        <f t="shared" si="2"/>
        <v>0</v>
      </c>
    </row>
    <row r="20" spans="1:14" x14ac:dyDescent="0.25">
      <c r="A20" s="1">
        <f>INDEX(Names, 18, 1)</f>
        <v>0</v>
      </c>
      <c r="B20" s="1">
        <f>INDEX(Names, 17, 2)</f>
        <v>0</v>
      </c>
      <c r="C20" s="1"/>
      <c r="D20" s="1"/>
      <c r="E20" s="1"/>
      <c r="F20" s="6"/>
      <c r="G20" s="6"/>
      <c r="H20" s="6"/>
      <c r="I20" s="6"/>
      <c r="J20" s="6"/>
      <c r="K20" s="6"/>
      <c r="L20" s="3">
        <f t="shared" si="0"/>
        <v>0</v>
      </c>
      <c r="M20" t="str">
        <f t="shared" si="1"/>
        <v>methu/fail</v>
      </c>
      <c r="N20">
        <f t="shared" si="2"/>
        <v>0</v>
      </c>
    </row>
    <row r="21" spans="1:14" x14ac:dyDescent="0.25">
      <c r="A21" s="1">
        <f>INDEX(Names, 19, 1)</f>
        <v>0</v>
      </c>
      <c r="B21" s="1">
        <f>INDEX(Names, 18, 2)</f>
        <v>0</v>
      </c>
      <c r="C21" s="1"/>
      <c r="D21" s="1"/>
      <c r="E21" s="1"/>
      <c r="F21" s="6"/>
      <c r="G21" s="6"/>
      <c r="H21" s="6"/>
      <c r="I21" s="6"/>
      <c r="J21" s="6"/>
      <c r="K21" s="6"/>
      <c r="L21" s="3">
        <f t="shared" si="0"/>
        <v>0</v>
      </c>
      <c r="M21" t="str">
        <f t="shared" si="1"/>
        <v>methu/fail</v>
      </c>
      <c r="N21">
        <f t="shared" si="2"/>
        <v>0</v>
      </c>
    </row>
    <row r="22" spans="1:14" x14ac:dyDescent="0.25">
      <c r="A22" s="1">
        <f>INDEX(Names, 20, 1)</f>
        <v>0</v>
      </c>
      <c r="B22" s="1">
        <f>INDEX(Names, 19, 2)</f>
        <v>0</v>
      </c>
      <c r="C22" s="1"/>
      <c r="D22" s="1"/>
      <c r="E22" s="1"/>
      <c r="F22" s="6"/>
      <c r="G22" s="6"/>
      <c r="H22" s="6"/>
      <c r="I22" s="6"/>
      <c r="J22" s="6"/>
      <c r="K22" s="6"/>
      <c r="L22" s="3">
        <f>SUM(G22+I22+K22)</f>
        <v>0</v>
      </c>
      <c r="M22" t="str">
        <f t="shared" si="1"/>
        <v>methu/fail</v>
      </c>
      <c r="N22">
        <f t="shared" si="2"/>
        <v>0</v>
      </c>
    </row>
    <row r="23" spans="1:14" x14ac:dyDescent="0.25">
      <c r="A23" s="1">
        <f>INDEX(Names, 21, 1)</f>
        <v>0</v>
      </c>
      <c r="B23" s="1">
        <f>INDEX(Names, 20, 2)</f>
        <v>0</v>
      </c>
      <c r="C23" s="1"/>
      <c r="D23" s="1"/>
      <c r="E23" s="1"/>
      <c r="F23" s="6"/>
      <c r="G23" s="6"/>
      <c r="H23" s="6"/>
      <c r="I23" s="6"/>
      <c r="J23" s="6"/>
      <c r="K23" s="6"/>
      <c r="L23" s="3">
        <f t="shared" si="0"/>
        <v>0</v>
      </c>
      <c r="M23" t="str">
        <f t="shared" si="1"/>
        <v>methu/fail</v>
      </c>
      <c r="N23">
        <f t="shared" si="2"/>
        <v>0</v>
      </c>
    </row>
    <row r="24" spans="1:14" x14ac:dyDescent="0.25">
      <c r="A24" s="1">
        <f>INDEX(Names, 22, 1)</f>
        <v>0</v>
      </c>
      <c r="B24" s="1">
        <f>INDEX(Names, 21, 2)</f>
        <v>0</v>
      </c>
      <c r="C24" s="1"/>
      <c r="D24" s="1"/>
      <c r="E24" s="1"/>
      <c r="F24" s="6"/>
      <c r="G24" s="6"/>
      <c r="H24" s="6"/>
      <c r="I24" s="6"/>
      <c r="J24" s="6"/>
      <c r="K24" s="6"/>
      <c r="L24" s="3">
        <f t="shared" si="0"/>
        <v>0</v>
      </c>
      <c r="M24" t="str">
        <f t="shared" si="1"/>
        <v>methu/fail</v>
      </c>
      <c r="N24">
        <f t="shared" si="2"/>
        <v>0</v>
      </c>
    </row>
    <row r="25" spans="1:14" x14ac:dyDescent="0.25">
      <c r="A25" s="1">
        <f>INDEX(Names, 23, 1)</f>
        <v>0</v>
      </c>
      <c r="B25" s="1">
        <f>INDEX(Names, 22, 2)</f>
        <v>0</v>
      </c>
      <c r="C25" s="1"/>
      <c r="D25" s="1"/>
      <c r="E25" s="1"/>
      <c r="F25" s="6"/>
      <c r="G25" s="6"/>
      <c r="H25" s="6"/>
      <c r="I25" s="6"/>
      <c r="J25" s="6"/>
      <c r="K25" s="6"/>
      <c r="L25" s="3">
        <f t="shared" si="0"/>
        <v>0</v>
      </c>
      <c r="M25" t="str">
        <f t="shared" si="1"/>
        <v>methu/fail</v>
      </c>
      <c r="N25">
        <f t="shared" si="2"/>
        <v>0</v>
      </c>
    </row>
    <row r="26" spans="1:14" x14ac:dyDescent="0.25">
      <c r="A26" s="1">
        <f>INDEX(Names, 24, 1)</f>
        <v>0</v>
      </c>
      <c r="B26" s="1">
        <f>INDEX(Names, 23, 2)</f>
        <v>0</v>
      </c>
      <c r="C26" s="1"/>
      <c r="D26" s="1"/>
      <c r="E26" s="1"/>
      <c r="F26" s="6"/>
      <c r="G26" s="6"/>
      <c r="H26" s="6"/>
      <c r="I26" s="6"/>
      <c r="J26" s="6"/>
      <c r="K26" s="6"/>
      <c r="L26" s="3">
        <f t="shared" si="0"/>
        <v>0</v>
      </c>
      <c r="M26" t="str">
        <f t="shared" si="1"/>
        <v>methu/fail</v>
      </c>
      <c r="N26">
        <f t="shared" si="2"/>
        <v>0</v>
      </c>
    </row>
    <row r="27" spans="1:14" x14ac:dyDescent="0.25">
      <c r="A27" s="1">
        <f>INDEX(Names, 25, 1)</f>
        <v>0</v>
      </c>
      <c r="B27" s="1">
        <f>INDEX(Names, 24, 2)</f>
        <v>0</v>
      </c>
      <c r="C27" s="1"/>
      <c r="D27" s="1"/>
      <c r="E27" s="1"/>
      <c r="F27" s="6"/>
      <c r="G27" s="6"/>
      <c r="H27" s="6"/>
      <c r="I27" s="6"/>
      <c r="J27" s="6"/>
      <c r="K27" s="6"/>
      <c r="L27" s="3">
        <f t="shared" si="0"/>
        <v>0</v>
      </c>
      <c r="M27" t="str">
        <f t="shared" si="1"/>
        <v>methu/fail</v>
      </c>
      <c r="N27">
        <f t="shared" si="2"/>
        <v>0</v>
      </c>
    </row>
    <row r="28" spans="1:14" x14ac:dyDescent="0.25">
      <c r="A28" s="1">
        <f>INDEX(Names, 26, 1)</f>
        <v>0</v>
      </c>
      <c r="B28" s="1">
        <f>INDEX(Names, 25, 2)</f>
        <v>0</v>
      </c>
      <c r="C28" s="1"/>
      <c r="D28" s="1"/>
      <c r="E28" s="1"/>
      <c r="F28" s="6"/>
      <c r="G28" s="6"/>
      <c r="H28" s="6"/>
      <c r="I28" s="6"/>
      <c r="J28" s="6"/>
      <c r="K28" s="6"/>
      <c r="L28" s="3">
        <f t="shared" si="0"/>
        <v>0</v>
      </c>
      <c r="M28" t="str">
        <f t="shared" si="1"/>
        <v>methu/fail</v>
      </c>
      <c r="N28">
        <f t="shared" si="2"/>
        <v>0</v>
      </c>
    </row>
    <row r="29" spans="1:14" x14ac:dyDescent="0.25">
      <c r="A29" s="1">
        <f>INDEX(Names, 27, 1)</f>
        <v>0</v>
      </c>
      <c r="B29" s="1">
        <f>INDEX(Names, 26, 2)</f>
        <v>0</v>
      </c>
      <c r="C29" s="1"/>
      <c r="D29" s="1"/>
      <c r="E29" s="1"/>
      <c r="F29" s="6"/>
      <c r="G29" s="6"/>
      <c r="H29" s="6"/>
      <c r="I29" s="6"/>
      <c r="J29" s="6"/>
      <c r="K29" s="6"/>
      <c r="L29" s="3">
        <f t="shared" si="0"/>
        <v>0</v>
      </c>
      <c r="M29" t="str">
        <f t="shared" si="1"/>
        <v>methu/fail</v>
      </c>
      <c r="N29">
        <f t="shared" si="2"/>
        <v>0</v>
      </c>
    </row>
    <row r="30" spans="1:14" x14ac:dyDescent="0.25">
      <c r="A30" s="1">
        <f>INDEX(Names, 28, 1)</f>
        <v>0</v>
      </c>
      <c r="B30" s="1">
        <f>INDEX(Names, 27, 2)</f>
        <v>0</v>
      </c>
      <c r="C30" s="1"/>
      <c r="D30" s="1"/>
      <c r="E30" s="1"/>
      <c r="F30" s="6"/>
      <c r="G30" s="6"/>
      <c r="H30" s="6"/>
      <c r="I30" s="6"/>
      <c r="J30" s="6"/>
      <c r="K30" s="6"/>
      <c r="L30" s="3">
        <f t="shared" si="0"/>
        <v>0</v>
      </c>
      <c r="M30" t="str">
        <f t="shared" si="1"/>
        <v>methu/fail</v>
      </c>
      <c r="N30">
        <f t="shared" si="2"/>
        <v>0</v>
      </c>
    </row>
  </sheetData>
  <mergeCells count="5">
    <mergeCell ref="C2:E2"/>
    <mergeCell ref="F2:G2"/>
    <mergeCell ref="H2:I2"/>
    <mergeCell ref="J2:K2"/>
    <mergeCell ref="A2:B2"/>
  </mergeCells>
  <conditionalFormatting sqref="C4:E30">
    <cfRule type="containsText" dxfId="37" priority="1" operator="containsText" text="N">
      <formula>NOT(ISERROR(SEARCH("N",C4)))</formula>
    </cfRule>
    <cfRule type="containsText" dxfId="36" priority="2" operator="containsText" text="Y">
      <formula>NOT(ISERROR(SEARCH("Y",C4)))</formula>
    </cfRule>
  </conditionalFormatting>
  <dataValidations count="2">
    <dataValidation type="list" allowBlank="1" showInputMessage="1" showErrorMessage="1" sqref="F4:F30 H4:H30 J4:J30">
      <formula1>Band</formula1>
    </dataValidation>
    <dataValidation type="list" allowBlank="1" showInputMessage="1" showErrorMessage="1" sqref="G4:G30 I4:I30 K4:K30">
      <formula1>Mark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workbookViewId="0">
      <selection activeCell="A4" sqref="A4"/>
    </sheetView>
  </sheetViews>
  <sheetFormatPr defaultRowHeight="15" x14ac:dyDescent="0.25"/>
  <cols>
    <col min="1" max="1" width="10.7109375" customWidth="1"/>
    <col min="2" max="2" width="13.28515625" customWidth="1"/>
    <col min="3" max="10" width="13.85546875" customWidth="1"/>
    <col min="11" max="11" width="0" hidden="1" customWidth="1"/>
    <col min="13" max="13" width="0" hidden="1" customWidth="1"/>
    <col min="15" max="15" width="0" hidden="1" customWidth="1"/>
    <col min="17" max="17" width="0" hidden="1" customWidth="1"/>
    <col min="19" max="19" width="0" hidden="1" customWidth="1"/>
    <col min="21" max="21" width="0" hidden="1" customWidth="1"/>
    <col min="23" max="23" width="0" hidden="1" customWidth="1"/>
    <col min="25" max="25" width="0" hidden="1" customWidth="1"/>
    <col min="29" max="29" width="8" bestFit="1" customWidth="1"/>
  </cols>
  <sheetData>
    <row r="1" spans="1:31" ht="18.75" x14ac:dyDescent="0.3">
      <c r="A1" s="7" t="s">
        <v>77</v>
      </c>
      <c r="I1" s="7"/>
    </row>
    <row r="2" spans="1:31" ht="13.5" customHeight="1" x14ac:dyDescent="0.25">
      <c r="A2" s="52" t="s">
        <v>63</v>
      </c>
      <c r="B2" s="53"/>
      <c r="C2" s="54" t="s">
        <v>30</v>
      </c>
      <c r="D2" s="54"/>
      <c r="E2" s="54"/>
      <c r="F2" s="54"/>
      <c r="G2" s="54"/>
      <c r="H2" s="54"/>
      <c r="I2" s="54"/>
      <c r="J2" s="54"/>
      <c r="K2" s="46" t="s">
        <v>81</v>
      </c>
      <c r="L2" s="47"/>
      <c r="M2" s="46" t="s">
        <v>65</v>
      </c>
      <c r="N2" s="46"/>
      <c r="O2" s="46" t="s">
        <v>66</v>
      </c>
      <c r="P2" s="47"/>
      <c r="Q2" s="46" t="s">
        <v>67</v>
      </c>
      <c r="R2" s="47"/>
      <c r="S2" s="46" t="s">
        <v>82</v>
      </c>
      <c r="T2" s="46"/>
      <c r="U2" s="46" t="s">
        <v>83</v>
      </c>
      <c r="V2" s="47"/>
      <c r="W2" s="46" t="s">
        <v>84</v>
      </c>
      <c r="X2" s="46"/>
      <c r="Y2" s="46" t="s">
        <v>85</v>
      </c>
      <c r="Z2" s="47"/>
      <c r="AA2" s="8"/>
    </row>
    <row r="3" spans="1:31" ht="113.25" customHeight="1" x14ac:dyDescent="0.25">
      <c r="A3" s="9" t="s">
        <v>68</v>
      </c>
      <c r="B3" s="63" t="s">
        <v>69</v>
      </c>
      <c r="C3" s="10" t="s">
        <v>41</v>
      </c>
      <c r="D3" s="10" t="s">
        <v>42</v>
      </c>
      <c r="E3" s="10" t="s">
        <v>45</v>
      </c>
      <c r="F3" s="10" t="s">
        <v>78</v>
      </c>
      <c r="G3" s="10" t="s">
        <v>79</v>
      </c>
      <c r="H3" s="10" t="s">
        <v>44</v>
      </c>
      <c r="I3" s="10" t="s">
        <v>80</v>
      </c>
      <c r="J3" s="10" t="s">
        <v>43</v>
      </c>
      <c r="K3" s="18" t="s">
        <v>4</v>
      </c>
      <c r="L3" s="18" t="s">
        <v>36</v>
      </c>
      <c r="M3" s="18" t="s">
        <v>4</v>
      </c>
      <c r="N3" s="18" t="s">
        <v>36</v>
      </c>
      <c r="O3" s="18" t="s">
        <v>4</v>
      </c>
      <c r="P3" s="18" t="s">
        <v>46</v>
      </c>
      <c r="Q3" s="18" t="s">
        <v>4</v>
      </c>
      <c r="R3" s="18" t="s">
        <v>46</v>
      </c>
      <c r="S3" s="18" t="s">
        <v>4</v>
      </c>
      <c r="T3" s="18" t="s">
        <v>46</v>
      </c>
      <c r="U3" s="18" t="s">
        <v>4</v>
      </c>
      <c r="V3" s="18" t="s">
        <v>36</v>
      </c>
      <c r="W3" s="18" t="s">
        <v>4</v>
      </c>
      <c r="X3" s="18" t="s">
        <v>36</v>
      </c>
      <c r="Y3" s="18" t="s">
        <v>4</v>
      </c>
      <c r="Z3" s="18" t="s">
        <v>46</v>
      </c>
      <c r="AA3" s="19" t="s">
        <v>86</v>
      </c>
      <c r="AD3">
        <v>0</v>
      </c>
      <c r="AE3" t="s">
        <v>93</v>
      </c>
    </row>
    <row r="4" spans="1:31" x14ac:dyDescent="0.25">
      <c r="A4" s="1"/>
      <c r="B4" s="1" t="s">
        <v>7</v>
      </c>
      <c r="C4" s="1" t="s">
        <v>17</v>
      </c>
      <c r="D4" s="1" t="s">
        <v>17</v>
      </c>
      <c r="E4" s="1" t="s">
        <v>17</v>
      </c>
      <c r="F4" s="1" t="s">
        <v>17</v>
      </c>
      <c r="G4" s="1" t="s">
        <v>17</v>
      </c>
      <c r="H4" s="1" t="s">
        <v>17</v>
      </c>
      <c r="I4" s="1" t="s">
        <v>17</v>
      </c>
      <c r="J4" s="1" t="s">
        <v>17</v>
      </c>
      <c r="K4" s="6">
        <v>2</v>
      </c>
      <c r="L4" s="6">
        <v>2</v>
      </c>
      <c r="M4" s="6">
        <v>3</v>
      </c>
      <c r="N4" s="6">
        <v>8</v>
      </c>
      <c r="O4" s="6">
        <v>3</v>
      </c>
      <c r="P4" s="6">
        <v>8</v>
      </c>
      <c r="Q4" s="6">
        <v>4</v>
      </c>
      <c r="R4" s="6">
        <v>9</v>
      </c>
      <c r="S4" s="6">
        <v>3</v>
      </c>
      <c r="T4" s="6">
        <v>9</v>
      </c>
      <c r="U4" s="6">
        <v>4</v>
      </c>
      <c r="V4" s="6">
        <v>9</v>
      </c>
      <c r="W4" s="6">
        <v>3</v>
      </c>
      <c r="X4" s="6">
        <v>9</v>
      </c>
      <c r="Y4" s="6">
        <v>4</v>
      </c>
      <c r="Z4" s="6">
        <v>5</v>
      </c>
      <c r="AA4" s="1">
        <f t="shared" ref="AA4:AA30" si="0">SUM(L4+N4+P4+R4+T4+V4+X4+Z4)</f>
        <v>59</v>
      </c>
      <c r="AB4" t="str">
        <f>LOOKUP(AA4,$AD$3:$AE$6)</f>
        <v xml:space="preserve">Rhagoriaeth/Distinction </v>
      </c>
      <c r="AC4">
        <f>IF(AA4&gt;=29,1,0)</f>
        <v>1</v>
      </c>
      <c r="AD4">
        <v>29</v>
      </c>
      <c r="AE4" t="s">
        <v>94</v>
      </c>
    </row>
    <row r="5" spans="1:3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1">
        <f t="shared" si="0"/>
        <v>0</v>
      </c>
      <c r="AB5" t="str">
        <f t="shared" ref="AB5:AB30" si="1">LOOKUP(AA5,$AD$3:$AE$6)</f>
        <v>methu/fail</v>
      </c>
      <c r="AC5">
        <f t="shared" ref="AC5:AC29" si="2">IF(AA5&gt;=29,1,0)</f>
        <v>0</v>
      </c>
      <c r="AD5">
        <v>44</v>
      </c>
      <c r="AE5" t="s">
        <v>96</v>
      </c>
    </row>
    <row r="6" spans="1:3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1">
        <f t="shared" si="0"/>
        <v>0</v>
      </c>
      <c r="AB6" t="str">
        <f t="shared" si="1"/>
        <v>methu/fail</v>
      </c>
      <c r="AC6">
        <f t="shared" si="2"/>
        <v>0</v>
      </c>
      <c r="AD6">
        <v>58</v>
      </c>
      <c r="AE6" t="s">
        <v>95</v>
      </c>
    </row>
    <row r="7" spans="1:3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1">
        <f t="shared" si="0"/>
        <v>0</v>
      </c>
      <c r="AB7" t="str">
        <f t="shared" si="1"/>
        <v>methu/fail</v>
      </c>
      <c r="AC7">
        <f t="shared" si="2"/>
        <v>0</v>
      </c>
    </row>
    <row r="8" spans="1:3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1">
        <f t="shared" si="0"/>
        <v>0</v>
      </c>
      <c r="AB8" t="str">
        <f t="shared" si="1"/>
        <v>methu/fail</v>
      </c>
      <c r="AC8">
        <f t="shared" si="2"/>
        <v>0</v>
      </c>
    </row>
    <row r="9" spans="1:3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1">
        <f t="shared" si="0"/>
        <v>0</v>
      </c>
      <c r="AB9" t="str">
        <f t="shared" si="1"/>
        <v>methu/fail</v>
      </c>
      <c r="AC9">
        <f t="shared" si="2"/>
        <v>0</v>
      </c>
    </row>
    <row r="10" spans="1:3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1">
        <f t="shared" si="0"/>
        <v>0</v>
      </c>
      <c r="AB10" t="str">
        <f t="shared" si="1"/>
        <v>methu/fail</v>
      </c>
      <c r="AC10">
        <f t="shared" si="2"/>
        <v>0</v>
      </c>
    </row>
    <row r="11" spans="1:3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1">
        <f t="shared" si="0"/>
        <v>0</v>
      </c>
      <c r="AB11" t="str">
        <f t="shared" si="1"/>
        <v>methu/fail</v>
      </c>
      <c r="AC11">
        <f t="shared" si="2"/>
        <v>0</v>
      </c>
    </row>
    <row r="12" spans="1:3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1">
        <f t="shared" si="0"/>
        <v>0</v>
      </c>
      <c r="AB12" t="str">
        <f t="shared" si="1"/>
        <v>methu/fail</v>
      </c>
      <c r="AC12">
        <f t="shared" si="2"/>
        <v>0</v>
      </c>
    </row>
    <row r="13" spans="1:3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1">
        <f t="shared" si="0"/>
        <v>0</v>
      </c>
      <c r="AB13" t="str">
        <f t="shared" si="1"/>
        <v>methu/fail</v>
      </c>
      <c r="AC13">
        <f t="shared" si="2"/>
        <v>0</v>
      </c>
    </row>
    <row r="14" spans="1:3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1">
        <f t="shared" si="0"/>
        <v>0</v>
      </c>
      <c r="AB14" t="str">
        <f t="shared" si="1"/>
        <v>methu/fail</v>
      </c>
      <c r="AC14">
        <f t="shared" si="2"/>
        <v>0</v>
      </c>
    </row>
    <row r="15" spans="1:3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1">
        <f t="shared" si="0"/>
        <v>0</v>
      </c>
      <c r="AB15" t="str">
        <f t="shared" si="1"/>
        <v>methu/fail</v>
      </c>
      <c r="AC15">
        <f t="shared" si="2"/>
        <v>0</v>
      </c>
    </row>
    <row r="16" spans="1:3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1">
        <f t="shared" si="0"/>
        <v>0</v>
      </c>
      <c r="AB16" t="str">
        <f t="shared" si="1"/>
        <v>methu/fail</v>
      </c>
      <c r="AC16">
        <f t="shared" si="2"/>
        <v>0</v>
      </c>
    </row>
    <row r="17" spans="1:2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1">
        <f t="shared" si="0"/>
        <v>0</v>
      </c>
      <c r="AB17" t="str">
        <f t="shared" si="1"/>
        <v>methu/fail</v>
      </c>
      <c r="AC17">
        <f t="shared" si="2"/>
        <v>0</v>
      </c>
    </row>
    <row r="18" spans="1:2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1">
        <f t="shared" si="0"/>
        <v>0</v>
      </c>
      <c r="AB18" t="str">
        <f t="shared" si="1"/>
        <v>methu/fail</v>
      </c>
      <c r="AC18">
        <f t="shared" si="2"/>
        <v>0</v>
      </c>
    </row>
    <row r="19" spans="1:2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1">
        <f t="shared" si="0"/>
        <v>0</v>
      </c>
      <c r="AB19" t="str">
        <f t="shared" si="1"/>
        <v>methu/fail</v>
      </c>
      <c r="AC19">
        <f t="shared" si="2"/>
        <v>0</v>
      </c>
    </row>
    <row r="20" spans="1:2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1">
        <f t="shared" si="0"/>
        <v>0</v>
      </c>
      <c r="AB20" t="str">
        <f t="shared" si="1"/>
        <v>methu/fail</v>
      </c>
      <c r="AC20">
        <f t="shared" si="2"/>
        <v>0</v>
      </c>
    </row>
    <row r="21" spans="1:2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1">
        <f t="shared" si="0"/>
        <v>0</v>
      </c>
      <c r="AB21" t="str">
        <f t="shared" si="1"/>
        <v>methu/fail</v>
      </c>
      <c r="AC21">
        <f t="shared" si="2"/>
        <v>0</v>
      </c>
    </row>
    <row r="22" spans="1: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1">
        <f t="shared" si="0"/>
        <v>0</v>
      </c>
      <c r="AB22" t="str">
        <f t="shared" si="1"/>
        <v>methu/fail</v>
      </c>
      <c r="AC22">
        <f t="shared" si="2"/>
        <v>0</v>
      </c>
    </row>
    <row r="23" spans="1:2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1">
        <f t="shared" si="0"/>
        <v>0</v>
      </c>
      <c r="AB23" t="str">
        <f t="shared" si="1"/>
        <v>methu/fail</v>
      </c>
      <c r="AC23">
        <f t="shared" si="2"/>
        <v>0</v>
      </c>
    </row>
    <row r="24" spans="1:2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1">
        <f t="shared" si="0"/>
        <v>0</v>
      </c>
      <c r="AB24" t="str">
        <f t="shared" si="1"/>
        <v>methu/fail</v>
      </c>
      <c r="AC24">
        <f t="shared" si="2"/>
        <v>0</v>
      </c>
    </row>
    <row r="25" spans="1:2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1">
        <f t="shared" si="0"/>
        <v>0</v>
      </c>
      <c r="AB25" t="str">
        <f t="shared" si="1"/>
        <v>methu/fail</v>
      </c>
      <c r="AC25">
        <f t="shared" si="2"/>
        <v>0</v>
      </c>
    </row>
    <row r="26" spans="1:2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1">
        <f t="shared" si="0"/>
        <v>0</v>
      </c>
      <c r="AB26" t="str">
        <f t="shared" si="1"/>
        <v>methu/fail</v>
      </c>
      <c r="AC26">
        <f t="shared" si="2"/>
        <v>0</v>
      </c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1">
        <f t="shared" si="0"/>
        <v>0</v>
      </c>
      <c r="AB27" t="str">
        <f t="shared" si="1"/>
        <v>methu/fail</v>
      </c>
      <c r="AC27">
        <f t="shared" si="2"/>
        <v>0</v>
      </c>
    </row>
    <row r="28" spans="1:2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1">
        <f t="shared" si="0"/>
        <v>0</v>
      </c>
      <c r="AB28" t="str">
        <f t="shared" si="1"/>
        <v>methu/fail</v>
      </c>
      <c r="AC28">
        <f t="shared" si="2"/>
        <v>0</v>
      </c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1">
        <f t="shared" si="0"/>
        <v>0</v>
      </c>
      <c r="AB29" t="str">
        <f t="shared" si="1"/>
        <v>methu/fail</v>
      </c>
      <c r="AC29">
        <f t="shared" si="2"/>
        <v>0</v>
      </c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1">
        <f t="shared" si="0"/>
        <v>0</v>
      </c>
      <c r="AB30" t="str">
        <f t="shared" si="1"/>
        <v>methu/fail</v>
      </c>
      <c r="AC30">
        <f>IF(AA30&gt;=29,1,0)</f>
        <v>0</v>
      </c>
    </row>
  </sheetData>
  <mergeCells count="10">
    <mergeCell ref="U2:V2"/>
    <mergeCell ref="W2:X2"/>
    <mergeCell ref="Y2:Z2"/>
    <mergeCell ref="A2:B2"/>
    <mergeCell ref="C2:J2"/>
    <mergeCell ref="K2:L2"/>
    <mergeCell ref="M2:N2"/>
    <mergeCell ref="O2:P2"/>
    <mergeCell ref="Q2:R2"/>
    <mergeCell ref="S2:T2"/>
  </mergeCells>
  <conditionalFormatting sqref="C4:C30">
    <cfRule type="containsText" dxfId="35" priority="15" operator="containsText" text="N">
      <formula>NOT(ISERROR(SEARCH("N",C4)))</formula>
    </cfRule>
    <cfRule type="containsText" dxfId="34" priority="16" operator="containsText" text="Y">
      <formula>NOT(ISERROR(SEARCH("Y",C4)))</formula>
    </cfRule>
  </conditionalFormatting>
  <conditionalFormatting sqref="G4:G30">
    <cfRule type="containsText" dxfId="33" priority="7" operator="containsText" text="N">
      <formula>NOT(ISERROR(SEARCH("N",G4)))</formula>
    </cfRule>
    <cfRule type="containsText" dxfId="32" priority="8" operator="containsText" text="Y">
      <formula>NOT(ISERROR(SEARCH("Y",G4)))</formula>
    </cfRule>
  </conditionalFormatting>
  <conditionalFormatting sqref="D4:D30">
    <cfRule type="containsText" dxfId="31" priority="13" operator="containsText" text="N">
      <formula>NOT(ISERROR(SEARCH("N",D4)))</formula>
    </cfRule>
    <cfRule type="containsText" dxfId="30" priority="14" operator="containsText" text="Y">
      <formula>NOT(ISERROR(SEARCH("Y",D4)))</formula>
    </cfRule>
  </conditionalFormatting>
  <conditionalFormatting sqref="E4:E30">
    <cfRule type="containsText" dxfId="29" priority="11" operator="containsText" text="N">
      <formula>NOT(ISERROR(SEARCH("N",E4)))</formula>
    </cfRule>
    <cfRule type="containsText" dxfId="28" priority="12" operator="containsText" text="Y">
      <formula>NOT(ISERROR(SEARCH("Y",E4)))</formula>
    </cfRule>
  </conditionalFormatting>
  <conditionalFormatting sqref="F4:F30">
    <cfRule type="containsText" dxfId="27" priority="9" operator="containsText" text="N">
      <formula>NOT(ISERROR(SEARCH("N",F4)))</formula>
    </cfRule>
    <cfRule type="containsText" dxfId="26" priority="10" operator="containsText" text="Y">
      <formula>NOT(ISERROR(SEARCH("Y",F4)))</formula>
    </cfRule>
  </conditionalFormatting>
  <conditionalFormatting sqref="I4:I30">
    <cfRule type="containsText" dxfId="25" priority="3" operator="containsText" text="N">
      <formula>NOT(ISERROR(SEARCH("N",I4)))</formula>
    </cfRule>
    <cfRule type="containsText" dxfId="24" priority="4" operator="containsText" text="Y">
      <formula>NOT(ISERROR(SEARCH("Y",I4)))</formula>
    </cfRule>
  </conditionalFormatting>
  <conditionalFormatting sqref="H4:H30">
    <cfRule type="containsText" dxfId="23" priority="5" operator="containsText" text="N">
      <formula>NOT(ISERROR(SEARCH("N",H4)))</formula>
    </cfRule>
    <cfRule type="containsText" dxfId="22" priority="6" operator="containsText" text="Y">
      <formula>NOT(ISERROR(SEARCH("Y",H4)))</formula>
    </cfRule>
  </conditionalFormatting>
  <conditionalFormatting sqref="J4:J30">
    <cfRule type="containsText" dxfId="21" priority="1" operator="containsText" text="N">
      <formula>NOT(ISERROR(SEARCH("N",J4)))</formula>
    </cfRule>
    <cfRule type="containsText" dxfId="20" priority="2" operator="containsText" text="Y">
      <formula>NOT(ISERROR(SEARCH("Y",J4)))</formula>
    </cfRule>
  </conditionalFormatting>
  <dataValidations count="2">
    <dataValidation type="list" allowBlank="1" showInputMessage="1" showErrorMessage="1" sqref="K4:K30 M4:M30 O4:O30 Q4:Q30 S4:S30 U4:U30 W4:W30 Y4:Y30">
      <formula1>Band</formula1>
    </dataValidation>
    <dataValidation type="list" allowBlank="1" showInputMessage="1" showErrorMessage="1" sqref="L4:L30 N4:N30 P4:P30 R4:R30 T4:T30 V4:V30 Z4:Z30 X4:X30">
      <formula1>Mark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selection activeCell="R5" sqref="R5"/>
    </sheetView>
  </sheetViews>
  <sheetFormatPr defaultRowHeight="15" x14ac:dyDescent="0.25"/>
  <cols>
    <col min="1" max="1" width="13.140625" customWidth="1"/>
    <col min="2" max="2" width="10.28515625" bestFit="1" customWidth="1"/>
    <col min="3" max="3" width="17.5703125" hidden="1" customWidth="1"/>
    <col min="4" max="4" width="17.42578125" hidden="1" customWidth="1"/>
    <col min="5" max="5" width="17.7109375" hidden="1" customWidth="1"/>
    <col min="6" max="6" width="23.42578125" hidden="1" customWidth="1"/>
    <col min="7" max="8" width="17.28515625" hidden="1" customWidth="1"/>
    <col min="9" max="9" width="16.5703125" hidden="1" customWidth="1"/>
    <col min="10" max="10" width="19.7109375" hidden="1" customWidth="1"/>
    <col min="11" max="11" width="11.42578125" hidden="1" customWidth="1"/>
    <col min="12" max="12" width="28.42578125" hidden="1" customWidth="1"/>
    <col min="13" max="13" width="16.7109375" hidden="1" customWidth="1"/>
    <col min="14" max="14" width="13.28515625" customWidth="1"/>
    <col min="16" max="17" width="10.5703125" style="2" customWidth="1"/>
    <col min="18" max="18" width="13.28515625" customWidth="1"/>
    <col min="19" max="19" width="10.5703125" customWidth="1"/>
  </cols>
  <sheetData>
    <row r="1" spans="1:19" ht="18.75" x14ac:dyDescent="0.3">
      <c r="A1" s="7" t="s">
        <v>87</v>
      </c>
      <c r="C1" s="55" t="s">
        <v>16</v>
      </c>
      <c r="D1" s="56"/>
      <c r="E1" s="56"/>
      <c r="F1" s="56"/>
      <c r="G1" s="56"/>
      <c r="H1" s="56"/>
      <c r="I1" s="56"/>
      <c r="J1" s="57"/>
    </row>
    <row r="2" spans="1:19" ht="15.75" x14ac:dyDescent="0.25">
      <c r="A2" s="49" t="s">
        <v>63</v>
      </c>
      <c r="B2" s="49"/>
      <c r="C2" s="58">
        <v>0.5</v>
      </c>
      <c r="D2" s="59"/>
      <c r="E2" s="58">
        <v>0.2</v>
      </c>
      <c r="F2" s="59"/>
      <c r="G2" s="58">
        <v>0.15</v>
      </c>
      <c r="H2" s="59"/>
      <c r="I2" s="60">
        <v>0.15</v>
      </c>
      <c r="J2" s="61"/>
      <c r="K2" s="8"/>
      <c r="L2" s="8"/>
    </row>
    <row r="3" spans="1:19" s="4" customFormat="1" ht="64.5" customHeight="1" x14ac:dyDescent="0.25">
      <c r="A3" s="9" t="s">
        <v>68</v>
      </c>
      <c r="B3" s="9" t="s">
        <v>69</v>
      </c>
      <c r="C3" s="10" t="s">
        <v>59</v>
      </c>
      <c r="D3" s="10" t="s">
        <v>29</v>
      </c>
      <c r="E3" s="11" t="s">
        <v>60</v>
      </c>
      <c r="F3" s="11" t="s">
        <v>37</v>
      </c>
      <c r="G3" s="12" t="s">
        <v>38</v>
      </c>
      <c r="H3" s="20" t="s">
        <v>39</v>
      </c>
      <c r="I3" s="13" t="s">
        <v>61</v>
      </c>
      <c r="J3" s="13" t="s">
        <v>40</v>
      </c>
      <c r="K3" s="9" t="s">
        <v>15</v>
      </c>
      <c r="L3" s="9" t="s">
        <v>14</v>
      </c>
      <c r="M3" s="23" t="s">
        <v>24</v>
      </c>
      <c r="N3" s="44" t="s">
        <v>88</v>
      </c>
      <c r="O3" s="43" t="s">
        <v>89</v>
      </c>
      <c r="P3" s="34" t="s">
        <v>90</v>
      </c>
      <c r="Q3" s="34"/>
      <c r="R3" s="23" t="s">
        <v>91</v>
      </c>
      <c r="S3" s="23" t="s">
        <v>92</v>
      </c>
    </row>
    <row r="4" spans="1:19" x14ac:dyDescent="0.25">
      <c r="A4" s="1"/>
      <c r="B4" s="1" t="s">
        <v>98</v>
      </c>
      <c r="C4" s="30">
        <f>INDEX(Individual_Project, 2, 27)</f>
        <v>59</v>
      </c>
      <c r="D4" s="30">
        <f>C4*2.0833</f>
        <v>122.9147</v>
      </c>
      <c r="E4" s="40">
        <f t="shared" ref="E4:E30" si="0">INDEX(Enterprise_Employability, , 18)</f>
        <v>18</v>
      </c>
      <c r="F4" s="31">
        <f>E4*1.33333</f>
        <v>23.999939999999999</v>
      </c>
      <c r="G4" s="32">
        <f t="shared" ref="G4:G30" si="1">INDEX(Global_Citizenship, , 13)</f>
        <v>19</v>
      </c>
      <c r="H4" s="32">
        <f>G4*1.25</f>
        <v>23.75</v>
      </c>
      <c r="I4" s="33">
        <f t="shared" ref="I4:I30" si="2">INDEX(Community_Challenge, , 12)</f>
        <v>21</v>
      </c>
      <c r="J4" s="33">
        <f>I4*1.666667</f>
        <v>35.000006999999997</v>
      </c>
      <c r="K4" s="21">
        <f>C4*1.0625+E4*1.13+G4*0.85+G4*0.85</f>
        <v>115.32750000000001</v>
      </c>
      <c r="L4" s="21">
        <f>K4/204*100</f>
        <v>56.53308823529413</v>
      </c>
      <c r="M4" s="21">
        <f>SUM(D4+F4+H4+J4)</f>
        <v>205.664647</v>
      </c>
      <c r="N4" s="45">
        <f>SUM('Individual Project'!AC4+'Community Challenge'!N4+'Global Citizenship'!O4+'Enterprise and Employability'!T4)</f>
        <v>3</v>
      </c>
      <c r="O4" s="1" t="str">
        <f>IF(N4&gt;=4,"pass","fail")</f>
        <v>fail</v>
      </c>
      <c r="P4" s="41" t="str">
        <f>LOOKUP(M4,$R$4:$S$10)</f>
        <v>C</v>
      </c>
      <c r="Q4" s="41"/>
      <c r="R4" s="1">
        <v>0</v>
      </c>
      <c r="S4" s="1" t="s">
        <v>97</v>
      </c>
    </row>
    <row r="5" spans="1:19" x14ac:dyDescent="0.25">
      <c r="A5" s="1">
        <f>INDEX(Names, 3, 1)</f>
        <v>0</v>
      </c>
      <c r="B5" s="1">
        <f>INDEX(Names, 3, 2)</f>
        <v>0</v>
      </c>
      <c r="C5" s="30">
        <f>INDEX(Individual_Project, 3, 27)</f>
        <v>0</v>
      </c>
      <c r="D5" s="30">
        <f t="shared" ref="D5:D30" si="3">C5*2.0833</f>
        <v>0</v>
      </c>
      <c r="E5" s="40">
        <f t="shared" si="0"/>
        <v>14</v>
      </c>
      <c r="F5" s="31">
        <f t="shared" ref="F5:F30" si="4">E5*1.33333</f>
        <v>18.666619999999998</v>
      </c>
      <c r="G5" s="32">
        <f t="shared" si="1"/>
        <v>12</v>
      </c>
      <c r="H5" s="32">
        <f t="shared" ref="H5:H30" si="5">G5*1.25</f>
        <v>15</v>
      </c>
      <c r="I5" s="33">
        <f t="shared" si="2"/>
        <v>1</v>
      </c>
      <c r="J5" s="33">
        <f t="shared" ref="J5:J30" si="6">I5*1.666667</f>
        <v>1.6666669999999999</v>
      </c>
      <c r="K5" s="21">
        <f t="shared" ref="K5:K30" si="7">C5*1.0625+E5*1.13+G5*0.85+G5*0.85</f>
        <v>36.22</v>
      </c>
      <c r="L5" s="21">
        <f t="shared" ref="L5:L30" si="8">K5/204*100</f>
        <v>17.754901960784313</v>
      </c>
      <c r="M5" s="21">
        <f t="shared" ref="M5:M30" si="9">SUM(D5+F5+H5+J5)</f>
        <v>35.333286999999991</v>
      </c>
      <c r="N5" s="45">
        <f>SUM('Individual Project'!AC5+'Community Challenge'!N5+'Global Citizenship'!O5+'Enterprise and Employability'!T5)</f>
        <v>0</v>
      </c>
      <c r="O5" s="1" t="str">
        <f t="shared" ref="O5:O30" si="10">IF(N5&gt;=4,"pass","fail")</f>
        <v>fail</v>
      </c>
      <c r="P5" s="41" t="str">
        <f>LOOKUP(M5,$R$4:$S$10)</f>
        <v>Methu/Fail</v>
      </c>
      <c r="Q5" s="41"/>
      <c r="R5" s="1">
        <v>120</v>
      </c>
      <c r="S5" s="1" t="s">
        <v>56</v>
      </c>
    </row>
    <row r="6" spans="1:19" x14ac:dyDescent="0.25">
      <c r="A6" s="1">
        <f>INDEX(Names, 4, 1)</f>
        <v>0</v>
      </c>
      <c r="B6" s="1">
        <f>INDEX(Names, 4, 2)</f>
        <v>0</v>
      </c>
      <c r="C6" s="30">
        <f>INDEX(Individual_Project, 4, 27)</f>
        <v>0</v>
      </c>
      <c r="D6" s="30">
        <f t="shared" si="3"/>
        <v>0</v>
      </c>
      <c r="E6" s="40">
        <f t="shared" si="0"/>
        <v>0</v>
      </c>
      <c r="F6" s="31">
        <f t="shared" si="4"/>
        <v>0</v>
      </c>
      <c r="G6" s="32">
        <f t="shared" si="1"/>
        <v>0</v>
      </c>
      <c r="H6" s="32">
        <f t="shared" si="5"/>
        <v>0</v>
      </c>
      <c r="I6" s="33">
        <f t="shared" si="2"/>
        <v>0</v>
      </c>
      <c r="J6" s="33">
        <f t="shared" si="6"/>
        <v>0</v>
      </c>
      <c r="K6" s="21">
        <f t="shared" si="7"/>
        <v>0</v>
      </c>
      <c r="L6" s="21">
        <f t="shared" si="8"/>
        <v>0</v>
      </c>
      <c r="M6" s="21">
        <f t="shared" si="9"/>
        <v>0</v>
      </c>
      <c r="N6" s="45">
        <f>SUM('Individual Project'!AC6+'Community Challenge'!N6+'Global Citizenship'!O6+'Enterprise and Employability'!T6)</f>
        <v>0</v>
      </c>
      <c r="O6" s="1" t="str">
        <f t="shared" si="10"/>
        <v>fail</v>
      </c>
      <c r="P6" s="41" t="str">
        <f>LOOKUP(M6,$R$4:$S$10)</f>
        <v>Methu/Fail</v>
      </c>
      <c r="Q6" s="41"/>
      <c r="R6" s="1">
        <v>150</v>
      </c>
      <c r="S6" s="1" t="s">
        <v>57</v>
      </c>
    </row>
    <row r="7" spans="1:19" x14ac:dyDescent="0.25">
      <c r="A7" s="1">
        <f>INDEX(Names, 5, 1)</f>
        <v>0</v>
      </c>
      <c r="B7" s="1">
        <f>INDEX(Names, 5, 2)</f>
        <v>0</v>
      </c>
      <c r="C7" s="30">
        <f>INDEX(Individual_Project, 5, 27)</f>
        <v>0</v>
      </c>
      <c r="D7" s="30">
        <f t="shared" si="3"/>
        <v>0</v>
      </c>
      <c r="E7" s="40">
        <f t="shared" si="0"/>
        <v>0</v>
      </c>
      <c r="F7" s="31">
        <f t="shared" si="4"/>
        <v>0</v>
      </c>
      <c r="G7" s="32">
        <f t="shared" si="1"/>
        <v>0</v>
      </c>
      <c r="H7" s="32">
        <f t="shared" si="5"/>
        <v>0</v>
      </c>
      <c r="I7" s="33">
        <f t="shared" si="2"/>
        <v>0</v>
      </c>
      <c r="J7" s="33">
        <f t="shared" si="6"/>
        <v>0</v>
      </c>
      <c r="K7" s="21">
        <f t="shared" si="7"/>
        <v>0</v>
      </c>
      <c r="L7" s="21">
        <f t="shared" si="8"/>
        <v>0</v>
      </c>
      <c r="M7" s="21">
        <f t="shared" si="9"/>
        <v>0</v>
      </c>
      <c r="N7" s="45">
        <f>SUM('Individual Project'!AC7+'Community Challenge'!N7+'Global Citizenship'!O7+'Enterprise and Employability'!T7)</f>
        <v>0</v>
      </c>
      <c r="O7" s="1" t="str">
        <f t="shared" si="10"/>
        <v>fail</v>
      </c>
      <c r="P7" s="41" t="e">
        <f>VLOOKUP(M7:M33,R7:$S$10,2,TRUE)</f>
        <v>#N/A</v>
      </c>
      <c r="Q7" s="41"/>
      <c r="R7" s="1">
        <v>180</v>
      </c>
      <c r="S7" s="1" t="s">
        <v>28</v>
      </c>
    </row>
    <row r="8" spans="1:19" x14ac:dyDescent="0.25">
      <c r="A8" s="1">
        <f>INDEX(Names, 6, 1)</f>
        <v>0</v>
      </c>
      <c r="B8" s="1">
        <f>INDEX(Names, 6, 2)</f>
        <v>0</v>
      </c>
      <c r="C8" s="30">
        <f>INDEX(Individual_Project, 6, 27)</f>
        <v>0</v>
      </c>
      <c r="D8" s="30">
        <f t="shared" si="3"/>
        <v>0</v>
      </c>
      <c r="E8" s="40">
        <f t="shared" si="0"/>
        <v>0</v>
      </c>
      <c r="F8" s="31">
        <f t="shared" si="4"/>
        <v>0</v>
      </c>
      <c r="G8" s="32">
        <f t="shared" si="1"/>
        <v>0</v>
      </c>
      <c r="H8" s="32">
        <f t="shared" si="5"/>
        <v>0</v>
      </c>
      <c r="I8" s="33">
        <f t="shared" si="2"/>
        <v>0</v>
      </c>
      <c r="J8" s="33">
        <f t="shared" si="6"/>
        <v>0</v>
      </c>
      <c r="K8" s="21">
        <f t="shared" si="7"/>
        <v>0</v>
      </c>
      <c r="L8" s="21">
        <f t="shared" si="8"/>
        <v>0</v>
      </c>
      <c r="M8" s="21">
        <f t="shared" si="9"/>
        <v>0</v>
      </c>
      <c r="N8" s="45">
        <f>SUM('Individual Project'!AC8+'Community Challenge'!N8+'Global Citizenship'!O8+'Enterprise and Employability'!T8)</f>
        <v>0</v>
      </c>
      <c r="O8" s="1" t="str">
        <f t="shared" si="10"/>
        <v>fail</v>
      </c>
      <c r="P8" s="41" t="e">
        <f>VLOOKUP(M8:M34,R8:$S$10,2,TRUE)</f>
        <v>#N/A</v>
      </c>
      <c r="Q8" s="41"/>
      <c r="R8" s="1">
        <v>210</v>
      </c>
      <c r="S8" s="1" t="s">
        <v>27</v>
      </c>
    </row>
    <row r="9" spans="1:19" x14ac:dyDescent="0.25">
      <c r="A9" s="1">
        <f>INDEX(Names, 7, 1)</f>
        <v>0</v>
      </c>
      <c r="B9" s="1">
        <f>INDEX(Names, , 2)</f>
        <v>0</v>
      </c>
      <c r="C9" s="30">
        <f>INDEX(Individual_Project, 7, 27)</f>
        <v>0</v>
      </c>
      <c r="D9" s="30">
        <f t="shared" si="3"/>
        <v>0</v>
      </c>
      <c r="E9" s="40">
        <f t="shared" si="0"/>
        <v>0</v>
      </c>
      <c r="F9" s="31">
        <f t="shared" si="4"/>
        <v>0</v>
      </c>
      <c r="G9" s="32">
        <f t="shared" si="1"/>
        <v>0</v>
      </c>
      <c r="H9" s="32">
        <f t="shared" si="5"/>
        <v>0</v>
      </c>
      <c r="I9" s="33">
        <f t="shared" si="2"/>
        <v>0</v>
      </c>
      <c r="J9" s="33">
        <f t="shared" si="6"/>
        <v>0</v>
      </c>
      <c r="K9" s="21">
        <f t="shared" si="7"/>
        <v>0</v>
      </c>
      <c r="L9" s="21">
        <f t="shared" si="8"/>
        <v>0</v>
      </c>
      <c r="M9" s="21">
        <f t="shared" si="9"/>
        <v>0</v>
      </c>
      <c r="N9" s="45">
        <f>SUM('Individual Project'!AC9+'Community Challenge'!N9+'Global Citizenship'!O9+'Enterprise and Employability'!T9)</f>
        <v>0</v>
      </c>
      <c r="O9" s="1" t="str">
        <f t="shared" si="10"/>
        <v>fail</v>
      </c>
      <c r="P9" s="41" t="e">
        <f>VLOOKUP(M9:M35,R9:$S$10,2,TRUE)</f>
        <v>#N/A</v>
      </c>
      <c r="Q9" s="41"/>
      <c r="R9" s="1">
        <v>240</v>
      </c>
      <c r="S9" s="1" t="s">
        <v>26</v>
      </c>
    </row>
    <row r="10" spans="1:19" x14ac:dyDescent="0.25">
      <c r="A10" s="1">
        <f>INDEX(Names, 8, 1)</f>
        <v>0</v>
      </c>
      <c r="B10" s="1">
        <f>INDEX(Names, 7, 2)</f>
        <v>0</v>
      </c>
      <c r="C10" s="30">
        <f>INDEX(Individual_Project, 8, 27)</f>
        <v>0</v>
      </c>
      <c r="D10" s="30">
        <f t="shared" si="3"/>
        <v>0</v>
      </c>
      <c r="E10" s="40">
        <f t="shared" si="0"/>
        <v>0</v>
      </c>
      <c r="F10" s="31">
        <f t="shared" si="4"/>
        <v>0</v>
      </c>
      <c r="G10" s="32">
        <f t="shared" si="1"/>
        <v>0</v>
      </c>
      <c r="H10" s="32">
        <f t="shared" si="5"/>
        <v>0</v>
      </c>
      <c r="I10" s="33">
        <f t="shared" si="2"/>
        <v>0</v>
      </c>
      <c r="J10" s="33">
        <f t="shared" si="6"/>
        <v>0</v>
      </c>
      <c r="K10" s="21">
        <f t="shared" si="7"/>
        <v>0</v>
      </c>
      <c r="L10" s="21">
        <f t="shared" si="8"/>
        <v>0</v>
      </c>
      <c r="M10" s="21">
        <f t="shared" si="9"/>
        <v>0</v>
      </c>
      <c r="N10" s="45">
        <f>SUM('Individual Project'!AC10+'Community Challenge'!N10+'Global Citizenship'!O10+'Enterprise and Employability'!T10)</f>
        <v>0</v>
      </c>
      <c r="O10" s="1" t="str">
        <f t="shared" si="10"/>
        <v>fail</v>
      </c>
      <c r="P10" s="41" t="e">
        <f>VLOOKUP(M10:M36,R10:$S$10,2,TRUE)</f>
        <v>#N/A</v>
      </c>
      <c r="Q10" s="41"/>
      <c r="R10" s="29">
        <v>270</v>
      </c>
      <c r="S10" s="29" t="s">
        <v>25</v>
      </c>
    </row>
    <row r="11" spans="1:19" x14ac:dyDescent="0.25">
      <c r="A11" s="1">
        <f>INDEX(Names, 9, 1)</f>
        <v>0</v>
      </c>
      <c r="B11" s="1">
        <f>INDEX(Names, 8, 2)</f>
        <v>0</v>
      </c>
      <c r="C11" s="30">
        <f>INDEX(Individual_Project, 9, 27)</f>
        <v>0</v>
      </c>
      <c r="D11" s="30">
        <f t="shared" si="3"/>
        <v>0</v>
      </c>
      <c r="E11" s="40">
        <f t="shared" si="0"/>
        <v>0</v>
      </c>
      <c r="F11" s="31">
        <f t="shared" si="4"/>
        <v>0</v>
      </c>
      <c r="G11" s="32">
        <f t="shared" si="1"/>
        <v>0</v>
      </c>
      <c r="H11" s="32">
        <f t="shared" si="5"/>
        <v>0</v>
      </c>
      <c r="I11" s="33">
        <f t="shared" si="2"/>
        <v>0</v>
      </c>
      <c r="J11" s="33">
        <f t="shared" si="6"/>
        <v>0</v>
      </c>
      <c r="K11" s="21">
        <f t="shared" si="7"/>
        <v>0</v>
      </c>
      <c r="L11" s="21">
        <f t="shared" si="8"/>
        <v>0</v>
      </c>
      <c r="M11" s="21">
        <f t="shared" si="9"/>
        <v>0</v>
      </c>
      <c r="N11" s="45">
        <f>SUM('Individual Project'!AC11+'Community Challenge'!N11+'Global Citizenship'!O11+'Enterprise and Employability'!T11)</f>
        <v>0</v>
      </c>
      <c r="O11" s="1" t="str">
        <f t="shared" si="10"/>
        <v>fail</v>
      </c>
      <c r="P11" s="41" t="e">
        <f>VLOOKUP(M11:M37,R$10:$S11,2,TRUE)</f>
        <v>#N/A</v>
      </c>
      <c r="Q11" s="42"/>
    </row>
    <row r="12" spans="1:19" x14ac:dyDescent="0.25">
      <c r="A12" s="1">
        <f>INDEX(Names, 10, 1)</f>
        <v>0</v>
      </c>
      <c r="B12" s="1">
        <f>INDEX(Names, 9, 2)</f>
        <v>0</v>
      </c>
      <c r="C12" s="30">
        <f>INDEX(Individual_Project, 10, 27)</f>
        <v>0</v>
      </c>
      <c r="D12" s="30">
        <f t="shared" si="3"/>
        <v>0</v>
      </c>
      <c r="E12" s="40">
        <f t="shared" si="0"/>
        <v>0</v>
      </c>
      <c r="F12" s="31">
        <f t="shared" si="4"/>
        <v>0</v>
      </c>
      <c r="G12" s="32">
        <f t="shared" si="1"/>
        <v>0</v>
      </c>
      <c r="H12" s="32">
        <f t="shared" si="5"/>
        <v>0</v>
      </c>
      <c r="I12" s="33">
        <f t="shared" si="2"/>
        <v>0</v>
      </c>
      <c r="J12" s="33">
        <f t="shared" si="6"/>
        <v>0</v>
      </c>
      <c r="K12" s="21">
        <f t="shared" si="7"/>
        <v>0</v>
      </c>
      <c r="L12" s="21">
        <f t="shared" si="8"/>
        <v>0</v>
      </c>
      <c r="M12" s="21">
        <f t="shared" si="9"/>
        <v>0</v>
      </c>
      <c r="N12" s="45">
        <f>SUM('Individual Project'!AC12+'Community Challenge'!N12+'Global Citizenship'!O12+'Enterprise and Employability'!T12)</f>
        <v>0</v>
      </c>
      <c r="O12" s="1" t="str">
        <f t="shared" si="10"/>
        <v>fail</v>
      </c>
      <c r="P12" s="41" t="e">
        <f>VLOOKUP(M12:M38,R$10:$S12,2,TRUE)</f>
        <v>#N/A</v>
      </c>
      <c r="Q12" s="42"/>
    </row>
    <row r="13" spans="1:19" x14ac:dyDescent="0.25">
      <c r="A13" s="1">
        <f>INDEX(Names, 11, 1)</f>
        <v>0</v>
      </c>
      <c r="B13" s="1">
        <f>INDEX(Names, 10, 2)</f>
        <v>0</v>
      </c>
      <c r="C13" s="30">
        <f>INDEX(Individual_Project, 11, 27)</f>
        <v>0</v>
      </c>
      <c r="D13" s="30">
        <f t="shared" si="3"/>
        <v>0</v>
      </c>
      <c r="E13" s="40">
        <f t="shared" si="0"/>
        <v>0</v>
      </c>
      <c r="F13" s="31">
        <f t="shared" si="4"/>
        <v>0</v>
      </c>
      <c r="G13" s="32">
        <f t="shared" si="1"/>
        <v>0</v>
      </c>
      <c r="H13" s="32">
        <f t="shared" si="5"/>
        <v>0</v>
      </c>
      <c r="I13" s="33">
        <f t="shared" si="2"/>
        <v>0</v>
      </c>
      <c r="J13" s="33">
        <f t="shared" si="6"/>
        <v>0</v>
      </c>
      <c r="K13" s="21">
        <f t="shared" si="7"/>
        <v>0</v>
      </c>
      <c r="L13" s="21">
        <f t="shared" si="8"/>
        <v>0</v>
      </c>
      <c r="M13" s="21">
        <f t="shared" si="9"/>
        <v>0</v>
      </c>
      <c r="N13" s="45">
        <f>SUM('Individual Project'!AC13+'Community Challenge'!N13+'Global Citizenship'!O13+'Enterprise and Employability'!T13)</f>
        <v>0</v>
      </c>
      <c r="O13" s="1" t="str">
        <f t="shared" si="10"/>
        <v>fail</v>
      </c>
      <c r="P13" s="41" t="e">
        <f>VLOOKUP(M13:M39,R$10:$S13,2,TRUE)</f>
        <v>#N/A</v>
      </c>
      <c r="Q13" s="42"/>
    </row>
    <row r="14" spans="1:19" x14ac:dyDescent="0.25">
      <c r="A14" s="1">
        <f>INDEX(Names, 12, 1)</f>
        <v>0</v>
      </c>
      <c r="B14" s="1">
        <f>INDEX(Names, 11, 2)</f>
        <v>0</v>
      </c>
      <c r="C14" s="30">
        <f>INDEX(Individual_Project, 12, 27)</f>
        <v>0</v>
      </c>
      <c r="D14" s="30">
        <f t="shared" si="3"/>
        <v>0</v>
      </c>
      <c r="E14" s="40">
        <f t="shared" si="0"/>
        <v>0</v>
      </c>
      <c r="F14" s="31">
        <f t="shared" si="4"/>
        <v>0</v>
      </c>
      <c r="G14" s="32">
        <f t="shared" si="1"/>
        <v>0</v>
      </c>
      <c r="H14" s="32">
        <f t="shared" si="5"/>
        <v>0</v>
      </c>
      <c r="I14" s="33">
        <f t="shared" si="2"/>
        <v>0</v>
      </c>
      <c r="J14" s="33">
        <f t="shared" si="6"/>
        <v>0</v>
      </c>
      <c r="K14" s="21">
        <f t="shared" si="7"/>
        <v>0</v>
      </c>
      <c r="L14" s="21">
        <f t="shared" si="8"/>
        <v>0</v>
      </c>
      <c r="M14" s="21">
        <f t="shared" si="9"/>
        <v>0</v>
      </c>
      <c r="N14" s="45">
        <f>SUM('Individual Project'!AC14+'Community Challenge'!N14+'Global Citizenship'!O14+'Enterprise and Employability'!T14)</f>
        <v>0</v>
      </c>
      <c r="O14" s="1" t="str">
        <f t="shared" si="10"/>
        <v>fail</v>
      </c>
      <c r="P14" s="41"/>
      <c r="Q14" s="42"/>
    </row>
    <row r="15" spans="1:19" x14ac:dyDescent="0.25">
      <c r="A15" s="1">
        <f>INDEX(Names, 13, 1)</f>
        <v>0</v>
      </c>
      <c r="B15" s="1">
        <f>INDEX(Names, 12, 2)</f>
        <v>0</v>
      </c>
      <c r="C15" s="30">
        <f>INDEX(Individual_Project, 13, 27)</f>
        <v>0</v>
      </c>
      <c r="D15" s="30">
        <f t="shared" si="3"/>
        <v>0</v>
      </c>
      <c r="E15" s="40">
        <f t="shared" si="0"/>
        <v>0</v>
      </c>
      <c r="F15" s="31">
        <f t="shared" si="4"/>
        <v>0</v>
      </c>
      <c r="G15" s="32">
        <f t="shared" si="1"/>
        <v>0</v>
      </c>
      <c r="H15" s="32">
        <f t="shared" si="5"/>
        <v>0</v>
      </c>
      <c r="I15" s="33">
        <f t="shared" si="2"/>
        <v>0</v>
      </c>
      <c r="J15" s="33">
        <f t="shared" si="6"/>
        <v>0</v>
      </c>
      <c r="K15" s="21">
        <f t="shared" si="7"/>
        <v>0</v>
      </c>
      <c r="L15" s="21">
        <f t="shared" si="8"/>
        <v>0</v>
      </c>
      <c r="M15" s="21">
        <f t="shared" si="9"/>
        <v>0</v>
      </c>
      <c r="N15" s="45">
        <f>SUM('Individual Project'!AC15+'Community Challenge'!N15+'Global Citizenship'!O15+'Enterprise and Employability'!T15)</f>
        <v>0</v>
      </c>
      <c r="O15" s="1" t="str">
        <f t="shared" si="10"/>
        <v>fail</v>
      </c>
      <c r="P15" s="41"/>
      <c r="Q15" s="42"/>
    </row>
    <row r="16" spans="1:19" x14ac:dyDescent="0.25">
      <c r="A16" s="1">
        <f>INDEX(Names, 14, 1)</f>
        <v>0</v>
      </c>
      <c r="B16" s="1">
        <f>INDEX(Names, 13, 2)</f>
        <v>0</v>
      </c>
      <c r="C16" s="30">
        <f>INDEX(Individual_Project, 14, 27)</f>
        <v>0</v>
      </c>
      <c r="D16" s="30">
        <f t="shared" si="3"/>
        <v>0</v>
      </c>
      <c r="E16" s="40">
        <f t="shared" si="0"/>
        <v>0</v>
      </c>
      <c r="F16" s="31">
        <f t="shared" si="4"/>
        <v>0</v>
      </c>
      <c r="G16" s="32">
        <f t="shared" si="1"/>
        <v>0</v>
      </c>
      <c r="H16" s="32">
        <f t="shared" si="5"/>
        <v>0</v>
      </c>
      <c r="I16" s="33">
        <f t="shared" si="2"/>
        <v>0</v>
      </c>
      <c r="J16" s="33">
        <f t="shared" si="6"/>
        <v>0</v>
      </c>
      <c r="K16" s="21">
        <f t="shared" si="7"/>
        <v>0</v>
      </c>
      <c r="L16" s="21">
        <f t="shared" si="8"/>
        <v>0</v>
      </c>
      <c r="M16" s="21">
        <f t="shared" si="9"/>
        <v>0</v>
      </c>
      <c r="N16" s="45">
        <f>SUM('Individual Project'!AC16+'Community Challenge'!N16+'Global Citizenship'!O16+'Enterprise and Employability'!T16)</f>
        <v>0</v>
      </c>
      <c r="O16" s="1" t="str">
        <f t="shared" si="10"/>
        <v>fail</v>
      </c>
      <c r="P16" s="41"/>
      <c r="Q16" s="42"/>
    </row>
    <row r="17" spans="1:17" x14ac:dyDescent="0.25">
      <c r="A17" s="1">
        <f>INDEX(Names, 15, 1)</f>
        <v>0</v>
      </c>
      <c r="B17" s="1">
        <f>INDEX(Names, 14, 2)</f>
        <v>0</v>
      </c>
      <c r="C17" s="30">
        <f>INDEX(Individual_Project, 15, 27)</f>
        <v>0</v>
      </c>
      <c r="D17" s="30">
        <f t="shared" si="3"/>
        <v>0</v>
      </c>
      <c r="E17" s="40">
        <f t="shared" si="0"/>
        <v>0</v>
      </c>
      <c r="F17" s="31">
        <f t="shared" si="4"/>
        <v>0</v>
      </c>
      <c r="G17" s="32">
        <f t="shared" si="1"/>
        <v>0</v>
      </c>
      <c r="H17" s="32">
        <f t="shared" si="5"/>
        <v>0</v>
      </c>
      <c r="I17" s="33">
        <f t="shared" si="2"/>
        <v>0</v>
      </c>
      <c r="J17" s="33">
        <f t="shared" si="6"/>
        <v>0</v>
      </c>
      <c r="K17" s="21">
        <f t="shared" si="7"/>
        <v>0</v>
      </c>
      <c r="L17" s="21">
        <f t="shared" si="8"/>
        <v>0</v>
      </c>
      <c r="M17" s="21">
        <f t="shared" si="9"/>
        <v>0</v>
      </c>
      <c r="N17" s="45">
        <f>SUM('Individual Project'!AC17+'Community Challenge'!N17+'Global Citizenship'!O17+'Enterprise and Employability'!T17)</f>
        <v>0</v>
      </c>
      <c r="O17" s="1" t="str">
        <f t="shared" si="10"/>
        <v>fail</v>
      </c>
      <c r="P17" s="41"/>
      <c r="Q17" s="42"/>
    </row>
    <row r="18" spans="1:17" x14ac:dyDescent="0.25">
      <c r="A18" s="1">
        <f>INDEX(Names, 16, 1)</f>
        <v>0</v>
      </c>
      <c r="B18" s="1">
        <f>INDEX(Names, 15, 2)</f>
        <v>0</v>
      </c>
      <c r="C18" s="30">
        <f>INDEX(Individual_Project, 16, 27)</f>
        <v>0</v>
      </c>
      <c r="D18" s="30">
        <f t="shared" si="3"/>
        <v>0</v>
      </c>
      <c r="E18" s="40">
        <f t="shared" si="0"/>
        <v>0</v>
      </c>
      <c r="F18" s="31">
        <f t="shared" si="4"/>
        <v>0</v>
      </c>
      <c r="G18" s="32">
        <f t="shared" si="1"/>
        <v>0</v>
      </c>
      <c r="H18" s="32">
        <f t="shared" si="5"/>
        <v>0</v>
      </c>
      <c r="I18" s="33">
        <f t="shared" si="2"/>
        <v>0</v>
      </c>
      <c r="J18" s="33">
        <f t="shared" si="6"/>
        <v>0</v>
      </c>
      <c r="K18" s="21">
        <f t="shared" si="7"/>
        <v>0</v>
      </c>
      <c r="L18" s="21">
        <f t="shared" si="8"/>
        <v>0</v>
      </c>
      <c r="M18" s="21">
        <f t="shared" si="9"/>
        <v>0</v>
      </c>
      <c r="N18" s="45">
        <f>SUM('Individual Project'!AC18+'Community Challenge'!N18+'Global Citizenship'!O18+'Enterprise and Employability'!T18)</f>
        <v>0</v>
      </c>
      <c r="O18" s="1" t="str">
        <f t="shared" si="10"/>
        <v>fail</v>
      </c>
      <c r="P18" s="41"/>
      <c r="Q18" s="42"/>
    </row>
    <row r="19" spans="1:17" x14ac:dyDescent="0.25">
      <c r="A19" s="1">
        <f>INDEX(Names, 17, 1)</f>
        <v>0</v>
      </c>
      <c r="B19" s="1">
        <f>INDEX(Names, 16, 2)</f>
        <v>0</v>
      </c>
      <c r="C19" s="30">
        <f>INDEX(Individual_Project, 17, 27)</f>
        <v>0</v>
      </c>
      <c r="D19" s="30">
        <f t="shared" si="3"/>
        <v>0</v>
      </c>
      <c r="E19" s="40">
        <f t="shared" si="0"/>
        <v>0</v>
      </c>
      <c r="F19" s="31">
        <f t="shared" si="4"/>
        <v>0</v>
      </c>
      <c r="G19" s="32">
        <f t="shared" si="1"/>
        <v>0</v>
      </c>
      <c r="H19" s="32">
        <f t="shared" si="5"/>
        <v>0</v>
      </c>
      <c r="I19" s="33">
        <f t="shared" si="2"/>
        <v>0</v>
      </c>
      <c r="J19" s="33">
        <f t="shared" si="6"/>
        <v>0</v>
      </c>
      <c r="K19" s="21">
        <f t="shared" si="7"/>
        <v>0</v>
      </c>
      <c r="L19" s="21">
        <f t="shared" si="8"/>
        <v>0</v>
      </c>
      <c r="M19" s="21">
        <f t="shared" si="9"/>
        <v>0</v>
      </c>
      <c r="N19" s="45">
        <f>SUM('Individual Project'!AC19+'Community Challenge'!N19+'Global Citizenship'!O19+'Enterprise and Employability'!T19)</f>
        <v>0</v>
      </c>
      <c r="O19" s="1" t="str">
        <f t="shared" si="10"/>
        <v>fail</v>
      </c>
      <c r="P19" s="41"/>
      <c r="Q19" s="42"/>
    </row>
    <row r="20" spans="1:17" x14ac:dyDescent="0.25">
      <c r="A20" s="1">
        <f>INDEX(Names, 18, 1)</f>
        <v>0</v>
      </c>
      <c r="B20" s="1">
        <f>INDEX(Names, 17, 2)</f>
        <v>0</v>
      </c>
      <c r="C20" s="30">
        <f>INDEX(Individual_Project, 18, 27)</f>
        <v>0</v>
      </c>
      <c r="D20" s="30">
        <f t="shared" si="3"/>
        <v>0</v>
      </c>
      <c r="E20" s="40">
        <f t="shared" si="0"/>
        <v>0</v>
      </c>
      <c r="F20" s="31">
        <f t="shared" si="4"/>
        <v>0</v>
      </c>
      <c r="G20" s="32">
        <f t="shared" si="1"/>
        <v>0</v>
      </c>
      <c r="H20" s="32">
        <f t="shared" si="5"/>
        <v>0</v>
      </c>
      <c r="I20" s="33">
        <f t="shared" si="2"/>
        <v>0</v>
      </c>
      <c r="J20" s="33">
        <f t="shared" si="6"/>
        <v>0</v>
      </c>
      <c r="K20" s="21">
        <f t="shared" si="7"/>
        <v>0</v>
      </c>
      <c r="L20" s="21">
        <f t="shared" si="8"/>
        <v>0</v>
      </c>
      <c r="M20" s="21">
        <f t="shared" si="9"/>
        <v>0</v>
      </c>
      <c r="N20" s="45">
        <f>SUM('Individual Project'!AC20+'Community Challenge'!N20+'Global Citizenship'!O20+'Enterprise and Employability'!T20)</f>
        <v>0</v>
      </c>
      <c r="O20" s="1" t="str">
        <f t="shared" si="10"/>
        <v>fail</v>
      </c>
      <c r="P20" s="41"/>
      <c r="Q20" s="42"/>
    </row>
    <row r="21" spans="1:17" x14ac:dyDescent="0.25">
      <c r="A21" s="1">
        <f>INDEX(Names, 19, 1)</f>
        <v>0</v>
      </c>
      <c r="B21" s="1">
        <f>INDEX(Names, 18, 2)</f>
        <v>0</v>
      </c>
      <c r="C21" s="30">
        <f>INDEX(Individual_Project, 19, 27)</f>
        <v>0</v>
      </c>
      <c r="D21" s="30">
        <f t="shared" si="3"/>
        <v>0</v>
      </c>
      <c r="E21" s="40">
        <f t="shared" si="0"/>
        <v>0</v>
      </c>
      <c r="F21" s="31">
        <f t="shared" si="4"/>
        <v>0</v>
      </c>
      <c r="G21" s="32">
        <f t="shared" si="1"/>
        <v>0</v>
      </c>
      <c r="H21" s="32">
        <f t="shared" si="5"/>
        <v>0</v>
      </c>
      <c r="I21" s="33">
        <f t="shared" si="2"/>
        <v>0</v>
      </c>
      <c r="J21" s="33">
        <f t="shared" si="6"/>
        <v>0</v>
      </c>
      <c r="K21" s="21">
        <f t="shared" si="7"/>
        <v>0</v>
      </c>
      <c r="L21" s="21">
        <f t="shared" si="8"/>
        <v>0</v>
      </c>
      <c r="M21" s="21">
        <f t="shared" si="9"/>
        <v>0</v>
      </c>
      <c r="N21" s="45">
        <f>SUM('Individual Project'!AC21+'Community Challenge'!N21+'Global Citizenship'!O21+'Enterprise and Employability'!T21)</f>
        <v>0</v>
      </c>
      <c r="O21" s="1" t="str">
        <f t="shared" si="10"/>
        <v>fail</v>
      </c>
      <c r="P21" s="41"/>
      <c r="Q21" s="42"/>
    </row>
    <row r="22" spans="1:17" x14ac:dyDescent="0.25">
      <c r="A22" s="1">
        <f>INDEX(Names, 20, 1)</f>
        <v>0</v>
      </c>
      <c r="B22" s="1">
        <f>INDEX(Names, 19, 2)</f>
        <v>0</v>
      </c>
      <c r="C22" s="30">
        <f>INDEX(Individual_Project, 20, 27)</f>
        <v>0</v>
      </c>
      <c r="D22" s="30">
        <f t="shared" si="3"/>
        <v>0</v>
      </c>
      <c r="E22" s="40">
        <f t="shared" si="0"/>
        <v>0</v>
      </c>
      <c r="F22" s="31">
        <f t="shared" si="4"/>
        <v>0</v>
      </c>
      <c r="G22" s="32">
        <f t="shared" si="1"/>
        <v>0</v>
      </c>
      <c r="H22" s="32">
        <f t="shared" si="5"/>
        <v>0</v>
      </c>
      <c r="I22" s="33">
        <f t="shared" si="2"/>
        <v>0</v>
      </c>
      <c r="J22" s="33">
        <f t="shared" si="6"/>
        <v>0</v>
      </c>
      <c r="K22" s="21">
        <f t="shared" si="7"/>
        <v>0</v>
      </c>
      <c r="L22" s="21">
        <f t="shared" si="8"/>
        <v>0</v>
      </c>
      <c r="M22" s="21">
        <f t="shared" si="9"/>
        <v>0</v>
      </c>
      <c r="N22" s="45">
        <f>SUM('Individual Project'!AC22+'Community Challenge'!N22+'Global Citizenship'!O22+'Enterprise and Employability'!T22)</f>
        <v>0</v>
      </c>
      <c r="O22" s="1" t="str">
        <f t="shared" si="10"/>
        <v>fail</v>
      </c>
      <c r="P22" s="41"/>
      <c r="Q22" s="42"/>
    </row>
    <row r="23" spans="1:17" x14ac:dyDescent="0.25">
      <c r="A23" s="1">
        <f>INDEX(Names, 21, 1)</f>
        <v>0</v>
      </c>
      <c r="B23" s="1">
        <f>INDEX(Names, 20, 2)</f>
        <v>0</v>
      </c>
      <c r="C23" s="30">
        <f>INDEX(Individual_Project, 21, 27)</f>
        <v>0</v>
      </c>
      <c r="D23" s="30">
        <f t="shared" si="3"/>
        <v>0</v>
      </c>
      <c r="E23" s="40">
        <f t="shared" si="0"/>
        <v>0</v>
      </c>
      <c r="F23" s="31">
        <f t="shared" si="4"/>
        <v>0</v>
      </c>
      <c r="G23" s="32">
        <f t="shared" si="1"/>
        <v>0</v>
      </c>
      <c r="H23" s="32">
        <f t="shared" si="5"/>
        <v>0</v>
      </c>
      <c r="I23" s="33">
        <f t="shared" si="2"/>
        <v>0</v>
      </c>
      <c r="J23" s="33">
        <f t="shared" si="6"/>
        <v>0</v>
      </c>
      <c r="K23" s="21">
        <f t="shared" si="7"/>
        <v>0</v>
      </c>
      <c r="L23" s="21">
        <f t="shared" si="8"/>
        <v>0</v>
      </c>
      <c r="M23" s="21">
        <f t="shared" si="9"/>
        <v>0</v>
      </c>
      <c r="N23" s="45">
        <f>SUM('Individual Project'!AC23+'Community Challenge'!N23+'Global Citizenship'!O23+'Enterprise and Employability'!T23)</f>
        <v>0</v>
      </c>
      <c r="O23" s="1" t="str">
        <f t="shared" si="10"/>
        <v>fail</v>
      </c>
      <c r="P23" s="41"/>
      <c r="Q23" s="42"/>
    </row>
    <row r="24" spans="1:17" x14ac:dyDescent="0.25">
      <c r="A24" s="1">
        <f>INDEX(Names, 22, 1)</f>
        <v>0</v>
      </c>
      <c r="B24" s="1">
        <f>INDEX(Names, 21, 2)</f>
        <v>0</v>
      </c>
      <c r="C24" s="30">
        <f>INDEX(Individual_Project, 22, 27)</f>
        <v>0</v>
      </c>
      <c r="D24" s="30">
        <f t="shared" si="3"/>
        <v>0</v>
      </c>
      <c r="E24" s="40">
        <f t="shared" si="0"/>
        <v>0</v>
      </c>
      <c r="F24" s="31">
        <f t="shared" si="4"/>
        <v>0</v>
      </c>
      <c r="G24" s="32">
        <f t="shared" si="1"/>
        <v>0</v>
      </c>
      <c r="H24" s="32">
        <f t="shared" si="5"/>
        <v>0</v>
      </c>
      <c r="I24" s="33">
        <f t="shared" si="2"/>
        <v>0</v>
      </c>
      <c r="J24" s="33">
        <f t="shared" si="6"/>
        <v>0</v>
      </c>
      <c r="K24" s="21">
        <f t="shared" si="7"/>
        <v>0</v>
      </c>
      <c r="L24" s="21">
        <f t="shared" si="8"/>
        <v>0</v>
      </c>
      <c r="M24" s="21">
        <f t="shared" si="9"/>
        <v>0</v>
      </c>
      <c r="N24" s="45">
        <f>SUM('Individual Project'!AC24+'Community Challenge'!N24+'Global Citizenship'!O24+'Enterprise and Employability'!T24)</f>
        <v>0</v>
      </c>
      <c r="O24" s="1" t="str">
        <f t="shared" si="10"/>
        <v>fail</v>
      </c>
      <c r="P24" s="41"/>
      <c r="Q24" s="42"/>
    </row>
    <row r="25" spans="1:17" x14ac:dyDescent="0.25">
      <c r="A25" s="1">
        <f>INDEX(Names, 23, 1)</f>
        <v>0</v>
      </c>
      <c r="B25" s="1">
        <f>INDEX(Names, 22, 2)</f>
        <v>0</v>
      </c>
      <c r="C25" s="30">
        <f>INDEX(Individual_Project, 23, 27)</f>
        <v>0</v>
      </c>
      <c r="D25" s="30">
        <f t="shared" si="3"/>
        <v>0</v>
      </c>
      <c r="E25" s="40">
        <f t="shared" si="0"/>
        <v>0</v>
      </c>
      <c r="F25" s="31">
        <f t="shared" si="4"/>
        <v>0</v>
      </c>
      <c r="G25" s="32">
        <f t="shared" si="1"/>
        <v>0</v>
      </c>
      <c r="H25" s="32">
        <f t="shared" si="5"/>
        <v>0</v>
      </c>
      <c r="I25" s="33">
        <f t="shared" si="2"/>
        <v>0</v>
      </c>
      <c r="J25" s="33">
        <f t="shared" si="6"/>
        <v>0</v>
      </c>
      <c r="K25" s="21">
        <f t="shared" si="7"/>
        <v>0</v>
      </c>
      <c r="L25" s="21">
        <f t="shared" si="8"/>
        <v>0</v>
      </c>
      <c r="M25" s="21">
        <f t="shared" si="9"/>
        <v>0</v>
      </c>
      <c r="N25" s="45">
        <f>SUM('Individual Project'!AC25+'Community Challenge'!N25+'Global Citizenship'!O25+'Enterprise and Employability'!T25)</f>
        <v>0</v>
      </c>
      <c r="O25" s="1" t="str">
        <f t="shared" si="10"/>
        <v>fail</v>
      </c>
      <c r="P25" s="41"/>
      <c r="Q25" s="42"/>
    </row>
    <row r="26" spans="1:17" x14ac:dyDescent="0.25">
      <c r="A26" s="1">
        <f>INDEX(Names, 24, 1)</f>
        <v>0</v>
      </c>
      <c r="B26" s="1">
        <f>INDEX(Names, 23, 2)</f>
        <v>0</v>
      </c>
      <c r="C26" s="30">
        <f>INDEX(Individual_Project, 24, 27)</f>
        <v>0</v>
      </c>
      <c r="D26" s="30">
        <f t="shared" si="3"/>
        <v>0</v>
      </c>
      <c r="E26" s="40">
        <f t="shared" si="0"/>
        <v>0</v>
      </c>
      <c r="F26" s="31">
        <f t="shared" si="4"/>
        <v>0</v>
      </c>
      <c r="G26" s="32">
        <f t="shared" si="1"/>
        <v>0</v>
      </c>
      <c r="H26" s="32">
        <f t="shared" si="5"/>
        <v>0</v>
      </c>
      <c r="I26" s="33">
        <f t="shared" si="2"/>
        <v>0</v>
      </c>
      <c r="J26" s="33">
        <f t="shared" si="6"/>
        <v>0</v>
      </c>
      <c r="K26" s="21">
        <f t="shared" si="7"/>
        <v>0</v>
      </c>
      <c r="L26" s="21">
        <f t="shared" si="8"/>
        <v>0</v>
      </c>
      <c r="M26" s="21">
        <f t="shared" si="9"/>
        <v>0</v>
      </c>
      <c r="N26" s="45">
        <f>SUM('Individual Project'!AC26+'Community Challenge'!N26+'Global Citizenship'!O26+'Enterprise and Employability'!T26)</f>
        <v>0</v>
      </c>
      <c r="O26" s="1" t="str">
        <f t="shared" si="10"/>
        <v>fail</v>
      </c>
      <c r="P26" s="41"/>
      <c r="Q26" s="42"/>
    </row>
    <row r="27" spans="1:17" x14ac:dyDescent="0.25">
      <c r="A27" s="1">
        <f>INDEX(Names, 25, 1)</f>
        <v>0</v>
      </c>
      <c r="B27" s="1">
        <f>INDEX(Names, 24, 2)</f>
        <v>0</v>
      </c>
      <c r="C27" s="30">
        <f>INDEX(Individual_Project, 25, 27)</f>
        <v>0</v>
      </c>
      <c r="D27" s="30">
        <f t="shared" si="3"/>
        <v>0</v>
      </c>
      <c r="E27" s="40">
        <f t="shared" si="0"/>
        <v>0</v>
      </c>
      <c r="F27" s="31">
        <f t="shared" si="4"/>
        <v>0</v>
      </c>
      <c r="G27" s="32">
        <f t="shared" si="1"/>
        <v>0</v>
      </c>
      <c r="H27" s="32">
        <f t="shared" si="5"/>
        <v>0</v>
      </c>
      <c r="I27" s="33">
        <f t="shared" si="2"/>
        <v>0</v>
      </c>
      <c r="J27" s="33">
        <f t="shared" si="6"/>
        <v>0</v>
      </c>
      <c r="K27" s="21">
        <f t="shared" si="7"/>
        <v>0</v>
      </c>
      <c r="L27" s="21">
        <f t="shared" si="8"/>
        <v>0</v>
      </c>
      <c r="M27" s="21">
        <f t="shared" si="9"/>
        <v>0</v>
      </c>
      <c r="N27" s="45">
        <f>SUM('Individual Project'!AC27+'Community Challenge'!N27+'Global Citizenship'!O27+'Enterprise and Employability'!T27)</f>
        <v>0</v>
      </c>
      <c r="O27" s="1" t="str">
        <f t="shared" si="10"/>
        <v>fail</v>
      </c>
      <c r="P27" s="41"/>
      <c r="Q27" s="42"/>
    </row>
    <row r="28" spans="1:17" x14ac:dyDescent="0.25">
      <c r="A28" s="1">
        <f>INDEX(Names, 26, 1)</f>
        <v>0</v>
      </c>
      <c r="B28" s="1">
        <f>INDEX(Names, 25, 2)</f>
        <v>0</v>
      </c>
      <c r="C28" s="30">
        <f>INDEX(Individual_Project, 26, 27)</f>
        <v>0</v>
      </c>
      <c r="D28" s="30">
        <f t="shared" si="3"/>
        <v>0</v>
      </c>
      <c r="E28" s="40">
        <f t="shared" si="0"/>
        <v>0</v>
      </c>
      <c r="F28" s="31">
        <f t="shared" si="4"/>
        <v>0</v>
      </c>
      <c r="G28" s="32">
        <f t="shared" si="1"/>
        <v>0</v>
      </c>
      <c r="H28" s="32">
        <f t="shared" si="5"/>
        <v>0</v>
      </c>
      <c r="I28" s="33">
        <f t="shared" si="2"/>
        <v>0</v>
      </c>
      <c r="J28" s="33">
        <f t="shared" si="6"/>
        <v>0</v>
      </c>
      <c r="K28" s="21">
        <f t="shared" si="7"/>
        <v>0</v>
      </c>
      <c r="L28" s="21">
        <f t="shared" si="8"/>
        <v>0</v>
      </c>
      <c r="M28" s="21">
        <f t="shared" si="9"/>
        <v>0</v>
      </c>
      <c r="N28" s="45">
        <f>SUM('Individual Project'!AC28+'Community Challenge'!N28+'Global Citizenship'!O28+'Enterprise and Employability'!T28)</f>
        <v>0</v>
      </c>
      <c r="O28" s="1" t="str">
        <f t="shared" si="10"/>
        <v>fail</v>
      </c>
      <c r="P28" s="41"/>
      <c r="Q28" s="42"/>
    </row>
    <row r="29" spans="1:17" x14ac:dyDescent="0.25">
      <c r="A29" s="1">
        <f>INDEX(Names, 27, 1)</f>
        <v>0</v>
      </c>
      <c r="B29" s="1">
        <f>INDEX(Names, 26, 2)</f>
        <v>0</v>
      </c>
      <c r="C29" s="30">
        <f>INDEX(Individual_Project, 27, 27)</f>
        <v>0</v>
      </c>
      <c r="D29" s="30">
        <f t="shared" si="3"/>
        <v>0</v>
      </c>
      <c r="E29" s="40">
        <f t="shared" si="0"/>
        <v>0</v>
      </c>
      <c r="F29" s="31">
        <f t="shared" si="4"/>
        <v>0</v>
      </c>
      <c r="G29" s="32">
        <f t="shared" si="1"/>
        <v>0</v>
      </c>
      <c r="H29" s="32">
        <f t="shared" si="5"/>
        <v>0</v>
      </c>
      <c r="I29" s="33">
        <f t="shared" si="2"/>
        <v>0</v>
      </c>
      <c r="J29" s="33">
        <f t="shared" si="6"/>
        <v>0</v>
      </c>
      <c r="K29" s="21">
        <f t="shared" si="7"/>
        <v>0</v>
      </c>
      <c r="L29" s="21">
        <f t="shared" si="8"/>
        <v>0</v>
      </c>
      <c r="M29" s="21">
        <f t="shared" si="9"/>
        <v>0</v>
      </c>
      <c r="N29" s="45">
        <f>SUM('Individual Project'!AC29+'Community Challenge'!N29+'Global Citizenship'!O29+'Enterprise and Employability'!T29)</f>
        <v>0</v>
      </c>
      <c r="O29" s="1" t="str">
        <f t="shared" si="10"/>
        <v>fail</v>
      </c>
      <c r="P29" s="41"/>
      <c r="Q29" s="42"/>
    </row>
    <row r="30" spans="1:17" x14ac:dyDescent="0.25">
      <c r="A30" s="1">
        <f>INDEX(Names, 28, 1)</f>
        <v>0</v>
      </c>
      <c r="B30" s="1">
        <f>INDEX(Names, 27, 2)</f>
        <v>0</v>
      </c>
      <c r="C30" s="30">
        <f>INDEX(Individual_Project, 28, 27)</f>
        <v>0</v>
      </c>
      <c r="D30" s="30">
        <f t="shared" si="3"/>
        <v>0</v>
      </c>
      <c r="E30" s="40">
        <f t="shared" si="0"/>
        <v>0</v>
      </c>
      <c r="F30" s="31">
        <f t="shared" si="4"/>
        <v>0</v>
      </c>
      <c r="G30" s="32">
        <f t="shared" si="1"/>
        <v>0</v>
      </c>
      <c r="H30" s="32">
        <f t="shared" si="5"/>
        <v>0</v>
      </c>
      <c r="I30" s="33">
        <f t="shared" si="2"/>
        <v>0</v>
      </c>
      <c r="J30" s="33">
        <f t="shared" si="6"/>
        <v>0</v>
      </c>
      <c r="K30" s="21">
        <f t="shared" si="7"/>
        <v>0</v>
      </c>
      <c r="L30" s="21">
        <f t="shared" si="8"/>
        <v>0</v>
      </c>
      <c r="M30" s="21">
        <f t="shared" si="9"/>
        <v>0</v>
      </c>
      <c r="N30" s="45">
        <f>SUM('Individual Project'!AC30+'Community Challenge'!N30+'Global Citizenship'!O30+'Enterprise and Employability'!T30)</f>
        <v>0</v>
      </c>
      <c r="O30" s="1" t="str">
        <f t="shared" si="10"/>
        <v>fail</v>
      </c>
      <c r="P30" s="41"/>
      <c r="Q30" s="42"/>
    </row>
    <row r="31" spans="1:17" x14ac:dyDescent="0.25">
      <c r="J31" s="24"/>
    </row>
    <row r="32" spans="1:17" x14ac:dyDescent="0.25">
      <c r="J32" s="24"/>
    </row>
    <row r="34" spans="1:3" x14ac:dyDescent="0.25">
      <c r="A34" t="s">
        <v>18</v>
      </c>
      <c r="B34" s="26"/>
      <c r="C34" t="s">
        <v>19</v>
      </c>
    </row>
    <row r="35" spans="1:3" x14ac:dyDescent="0.25">
      <c r="B35" s="25"/>
      <c r="C35" t="s">
        <v>20</v>
      </c>
    </row>
    <row r="36" spans="1:3" x14ac:dyDescent="0.25">
      <c r="B36" s="27"/>
      <c r="C36" t="s">
        <v>21</v>
      </c>
    </row>
    <row r="37" spans="1:3" x14ac:dyDescent="0.25">
      <c r="B37" s="28"/>
      <c r="C37" t="s">
        <v>22</v>
      </c>
    </row>
    <row r="38" spans="1:3" x14ac:dyDescent="0.25">
      <c r="B38" s="1"/>
      <c r="C38" t="s">
        <v>23</v>
      </c>
    </row>
  </sheetData>
  <mergeCells count="6">
    <mergeCell ref="C1:J1"/>
    <mergeCell ref="A2:B2"/>
    <mergeCell ref="C2:D2"/>
    <mergeCell ref="E2:F2"/>
    <mergeCell ref="G2:H2"/>
    <mergeCell ref="I2:J2"/>
  </mergeCells>
  <conditionalFormatting sqref="F4:F30">
    <cfRule type="cellIs" dxfId="19" priority="16" operator="lessThan">
      <formula>12</formula>
    </cfRule>
    <cfRule type="cellIs" dxfId="18" priority="17" operator="between">
      <formula>12</formula>
      <formula>23</formula>
    </cfRule>
    <cfRule type="cellIs" dxfId="17" priority="18" operator="between">
      <formula>24</formula>
      <formula>35</formula>
    </cfRule>
    <cfRule type="cellIs" dxfId="16" priority="19" operator="between">
      <formula>36</formula>
      <formula>47</formula>
    </cfRule>
    <cfRule type="cellIs" dxfId="15" priority="20" operator="greaterThan">
      <formula>48</formula>
    </cfRule>
  </conditionalFormatting>
  <conditionalFormatting sqref="D4:D30">
    <cfRule type="cellIs" dxfId="14" priority="11" operator="lessThan">
      <formula>29</formula>
    </cfRule>
    <cfRule type="cellIs" dxfId="13" priority="12" operator="between">
      <formula>30</formula>
      <formula>59</formula>
    </cfRule>
    <cfRule type="cellIs" dxfId="12" priority="13" operator="between">
      <formula>60</formula>
      <formula>89</formula>
    </cfRule>
    <cfRule type="cellIs" dxfId="11" priority="14" operator="between">
      <formula>90</formula>
      <formula>119</formula>
    </cfRule>
    <cfRule type="cellIs" dxfId="10" priority="15" operator="greaterThan">
      <formula>120</formula>
    </cfRule>
  </conditionalFormatting>
  <conditionalFormatting sqref="H4:H30">
    <cfRule type="cellIs" dxfId="9" priority="6" operator="lessThan">
      <formula>8</formula>
    </cfRule>
    <cfRule type="cellIs" dxfId="8" priority="7" operator="between">
      <formula>9</formula>
      <formula>17</formula>
    </cfRule>
    <cfRule type="cellIs" dxfId="7" priority="8" operator="between">
      <formula>18</formula>
      <formula>26</formula>
    </cfRule>
    <cfRule type="cellIs" dxfId="6" priority="9" operator="between">
      <formula>27</formula>
      <formula>35</formula>
    </cfRule>
    <cfRule type="cellIs" dxfId="5" priority="10" operator="greaterThan">
      <formula>36</formula>
    </cfRule>
  </conditionalFormatting>
  <conditionalFormatting sqref="J4:J30">
    <cfRule type="cellIs" dxfId="4" priority="1" operator="lessThan">
      <formula>8</formula>
    </cfRule>
    <cfRule type="cellIs" dxfId="3" priority="2" operator="between">
      <formula>9</formula>
      <formula>17</formula>
    </cfRule>
    <cfRule type="cellIs" dxfId="2" priority="3" operator="between">
      <formula>18</formula>
      <formula>26</formula>
    </cfRule>
    <cfRule type="cellIs" dxfId="1" priority="4" operator="between">
      <formula>27</formula>
      <formula>35</formula>
    </cfRule>
    <cfRule type="cellIs" dxfId="0" priority="5" operator="greaterThan">
      <formula>36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Enterprise and Employability</vt:lpstr>
      <vt:lpstr>Global Citizenship</vt:lpstr>
      <vt:lpstr>Community Challenge</vt:lpstr>
      <vt:lpstr>Individual Project</vt:lpstr>
      <vt:lpstr>Student Summary</vt:lpstr>
      <vt:lpstr>Band</vt:lpstr>
      <vt:lpstr>Community_Challenge</vt:lpstr>
      <vt:lpstr>Enterprise_Employability</vt:lpstr>
      <vt:lpstr>Global_Citizenship</vt:lpstr>
      <vt:lpstr>Individual_Project</vt:lpstr>
      <vt:lpstr>Mark</vt:lpstr>
      <vt:lpstr>Name</vt:lpstr>
      <vt:lpstr>Names</vt:lpstr>
    </vt:vector>
  </TitlesOfParts>
  <Company>EDU-SCCM1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Kent</dc:creator>
  <cp:lastModifiedBy>Jarvis Gwenno Fflur (GwE)</cp:lastModifiedBy>
  <dcterms:created xsi:type="dcterms:W3CDTF">2015-06-12T14:38:45Z</dcterms:created>
  <dcterms:modified xsi:type="dcterms:W3CDTF">2017-02-08T10:47:57Z</dcterms:modified>
</cp:coreProperties>
</file>