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-435" windowWidth="20730" windowHeight="11760" tabRatio="680" activeTab="3"/>
  </bookViews>
  <sheets>
    <sheet name="MENTER" sheetId="2" r:id="rId1"/>
    <sheet name="DINASYDDIAETH" sheetId="3" r:id="rId2"/>
    <sheet name="CYMUNEDOL" sheetId="4" r:id="rId3"/>
    <sheet name="PROSIECT" sheetId="1" r:id="rId4"/>
    <sheet name="CRYNODEB DISGYBL" sheetId="5" r:id="rId5"/>
  </sheets>
  <definedNames>
    <definedName name="Band">DINASYDDIAETH!$AA$3:$AA$7</definedName>
    <definedName name="Community_Challenge">CYMUNEDOL!$A$3:$M$30</definedName>
    <definedName name="Enterprise_Employability">MENTER!$A$3:$N$30</definedName>
    <definedName name="Global_Citizenship">DINASYDDIAETH!$A$3:$L$30</definedName>
    <definedName name="Individual_Project">PROSIECT!$A$3:$AA$30</definedName>
    <definedName name="Mark">DINASYDDIAETH!$AC$4:$AC$15</definedName>
    <definedName name="Name">'CRYNODEB DISGYBL'!$A$3:$B$30</definedName>
    <definedName name="Names">PROSIECT!$A$3:$B$30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5" l="1"/>
  <c r="H18" i="5"/>
  <c r="I18" i="5"/>
  <c r="J18" i="5"/>
  <c r="E18" i="5"/>
  <c r="F18" i="5"/>
  <c r="C18" i="5"/>
  <c r="D18" i="5"/>
  <c r="M18" i="5"/>
  <c r="O18" i="5"/>
  <c r="L5" i="3"/>
  <c r="N5" i="3"/>
  <c r="L6" i="3"/>
  <c r="N6" i="3"/>
  <c r="L7" i="3"/>
  <c r="N7" i="3"/>
  <c r="L8" i="3"/>
  <c r="N8" i="3"/>
  <c r="L9" i="3"/>
  <c r="N9" i="3"/>
  <c r="L10" i="3"/>
  <c r="N10" i="3"/>
  <c r="L11" i="3"/>
  <c r="N11" i="3"/>
  <c r="L12" i="3"/>
  <c r="N12" i="3"/>
  <c r="L13" i="3"/>
  <c r="N13" i="3"/>
  <c r="L14" i="3"/>
  <c r="N14" i="3"/>
  <c r="L15" i="3"/>
  <c r="N15" i="3"/>
  <c r="L16" i="3"/>
  <c r="N16" i="3"/>
  <c r="L17" i="3"/>
  <c r="N17" i="3"/>
  <c r="L18" i="3"/>
  <c r="N18" i="3"/>
  <c r="L19" i="3"/>
  <c r="N19" i="3"/>
  <c r="L20" i="3"/>
  <c r="N20" i="3"/>
  <c r="L21" i="3"/>
  <c r="N21" i="3"/>
  <c r="L22" i="3"/>
  <c r="N22" i="3"/>
  <c r="L23" i="3"/>
  <c r="N23" i="3"/>
  <c r="L24" i="3"/>
  <c r="N24" i="3"/>
  <c r="L25" i="3"/>
  <c r="N25" i="3"/>
  <c r="L26" i="3"/>
  <c r="N26" i="3"/>
  <c r="L27" i="3"/>
  <c r="N27" i="3"/>
  <c r="L28" i="3"/>
  <c r="N28" i="3"/>
  <c r="L29" i="3"/>
  <c r="N29" i="3"/>
  <c r="L30" i="3"/>
  <c r="N30" i="3"/>
  <c r="L4" i="3"/>
  <c r="N4" i="3"/>
  <c r="M5" i="4"/>
  <c r="O5" i="4"/>
  <c r="M6" i="4"/>
  <c r="O6" i="4"/>
  <c r="M7" i="4"/>
  <c r="O7" i="4"/>
  <c r="M8" i="4"/>
  <c r="O8" i="4"/>
  <c r="M9" i="4"/>
  <c r="O9" i="4"/>
  <c r="M10" i="4"/>
  <c r="O10" i="4"/>
  <c r="M11" i="4"/>
  <c r="O11" i="4"/>
  <c r="M12" i="4"/>
  <c r="O12" i="4"/>
  <c r="M13" i="4"/>
  <c r="O13" i="4"/>
  <c r="M14" i="4"/>
  <c r="O14" i="4"/>
  <c r="M15" i="4"/>
  <c r="O15" i="4"/>
  <c r="M16" i="4"/>
  <c r="O16" i="4"/>
  <c r="M17" i="4"/>
  <c r="O17" i="4"/>
  <c r="M18" i="4"/>
  <c r="O18" i="4"/>
  <c r="M19" i="4"/>
  <c r="O19" i="4"/>
  <c r="M20" i="4"/>
  <c r="O20" i="4"/>
  <c r="M21" i="4"/>
  <c r="O21" i="4"/>
  <c r="M22" i="4"/>
  <c r="O22" i="4"/>
  <c r="M23" i="4"/>
  <c r="O23" i="4"/>
  <c r="M24" i="4"/>
  <c r="O24" i="4"/>
  <c r="M25" i="4"/>
  <c r="O25" i="4"/>
  <c r="M26" i="4"/>
  <c r="O26" i="4"/>
  <c r="M27" i="4"/>
  <c r="O27" i="4"/>
  <c r="M28" i="4"/>
  <c r="O28" i="4"/>
  <c r="M29" i="4"/>
  <c r="O29" i="4"/>
  <c r="M30" i="4"/>
  <c r="O30" i="4"/>
  <c r="N5" i="2"/>
  <c r="P5" i="2"/>
  <c r="N6" i="2"/>
  <c r="P6" i="2"/>
  <c r="N7" i="2"/>
  <c r="P7" i="2"/>
  <c r="N8" i="2"/>
  <c r="P8" i="2"/>
  <c r="N9" i="2"/>
  <c r="P9" i="2"/>
  <c r="N10" i="2"/>
  <c r="P10" i="2"/>
  <c r="N11" i="2"/>
  <c r="P11" i="2"/>
  <c r="N12" i="2"/>
  <c r="P12" i="2"/>
  <c r="N13" i="2"/>
  <c r="P13" i="2"/>
  <c r="N14" i="2"/>
  <c r="P14" i="2"/>
  <c r="N15" i="2"/>
  <c r="P15" i="2"/>
  <c r="N16" i="2"/>
  <c r="P16" i="2"/>
  <c r="N17" i="2"/>
  <c r="P17" i="2"/>
  <c r="N18" i="2"/>
  <c r="P18" i="2"/>
  <c r="N19" i="2"/>
  <c r="P19" i="2"/>
  <c r="N20" i="2"/>
  <c r="P20" i="2"/>
  <c r="N21" i="2"/>
  <c r="P21" i="2"/>
  <c r="N22" i="2"/>
  <c r="P22" i="2"/>
  <c r="N23" i="2"/>
  <c r="P23" i="2"/>
  <c r="N24" i="2"/>
  <c r="P24" i="2"/>
  <c r="N25" i="2"/>
  <c r="P25" i="2"/>
  <c r="N26" i="2"/>
  <c r="P26" i="2"/>
  <c r="N27" i="2"/>
  <c r="P27" i="2"/>
  <c r="N28" i="2"/>
  <c r="P28" i="2"/>
  <c r="N29" i="2"/>
  <c r="P29" i="2"/>
  <c r="N30" i="2"/>
  <c r="P30" i="2"/>
  <c r="N4" i="2"/>
  <c r="P4" i="2"/>
  <c r="AA4" i="1"/>
  <c r="AC4" i="1"/>
  <c r="M4" i="4"/>
  <c r="O4" i="4"/>
  <c r="N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4" i="5"/>
  <c r="A23" i="2"/>
  <c r="A24" i="2"/>
  <c r="A25" i="2"/>
  <c r="A26" i="2"/>
  <c r="A27" i="2"/>
  <c r="A28" i="2"/>
  <c r="A29" i="2"/>
  <c r="A30" i="2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23" i="3"/>
  <c r="A24" i="3"/>
  <c r="A25" i="3"/>
  <c r="A26" i="3"/>
  <c r="A27" i="3"/>
  <c r="A28" i="3"/>
  <c r="A29" i="3"/>
  <c r="A30" i="3"/>
  <c r="A4" i="3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23" i="4"/>
  <c r="A24" i="4"/>
  <c r="A25" i="4"/>
  <c r="A26" i="4"/>
  <c r="A27" i="4"/>
  <c r="A28" i="4"/>
  <c r="A29" i="4"/>
  <c r="A30" i="4"/>
  <c r="A4" i="4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23" i="1"/>
  <c r="A24" i="1"/>
  <c r="A25" i="1"/>
  <c r="A26" i="1"/>
  <c r="A27" i="1"/>
  <c r="A28" i="1"/>
  <c r="A29" i="1"/>
  <c r="A30" i="1"/>
  <c r="A4" i="1"/>
  <c r="AA20" i="1"/>
  <c r="AC20" i="1"/>
  <c r="N20" i="5"/>
  <c r="AA28" i="1"/>
  <c r="AC28" i="1"/>
  <c r="N28" i="5"/>
  <c r="AA24" i="1"/>
  <c r="AC24" i="1"/>
  <c r="N24" i="5"/>
  <c r="AA18" i="1"/>
  <c r="AC18" i="1"/>
  <c r="N18" i="5"/>
  <c r="AA19" i="1"/>
  <c r="AC19" i="1"/>
  <c r="N19" i="5"/>
  <c r="AA21" i="1"/>
  <c r="AC21" i="1"/>
  <c r="N21" i="5"/>
  <c r="AA22" i="1"/>
  <c r="AC22" i="1"/>
  <c r="N22" i="5"/>
  <c r="AA23" i="1"/>
  <c r="AC23" i="1"/>
  <c r="N23" i="5"/>
  <c r="AA25" i="1"/>
  <c r="AC25" i="1"/>
  <c r="N25" i="5"/>
  <c r="AA26" i="1"/>
  <c r="AC26" i="1"/>
  <c r="N26" i="5"/>
  <c r="AA27" i="1"/>
  <c r="AC27" i="1"/>
  <c r="N27" i="5"/>
  <c r="AA29" i="1"/>
  <c r="AC29" i="1"/>
  <c r="N29" i="5"/>
  <c r="AA30" i="1"/>
  <c r="AC30" i="1"/>
  <c r="N30" i="5"/>
  <c r="AB24" i="1"/>
  <c r="AB25" i="1"/>
  <c r="AB26" i="1"/>
  <c r="AB27" i="1"/>
  <c r="AB28" i="1"/>
  <c r="AB29" i="1"/>
  <c r="AB30" i="1"/>
  <c r="AB18" i="1"/>
  <c r="AB19" i="1"/>
  <c r="AB20" i="1"/>
  <c r="AB21" i="1"/>
  <c r="AB22" i="1"/>
  <c r="AB23" i="1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M29" i="3"/>
  <c r="M30" i="3"/>
  <c r="M18" i="3"/>
  <c r="M19" i="3"/>
  <c r="M20" i="3"/>
  <c r="M21" i="3"/>
  <c r="M22" i="3"/>
  <c r="M23" i="3"/>
  <c r="M24" i="3"/>
  <c r="M25" i="3"/>
  <c r="M26" i="3"/>
  <c r="M27" i="3"/>
  <c r="M28" i="3"/>
  <c r="O19" i="2"/>
  <c r="O20" i="2"/>
  <c r="O21" i="2"/>
  <c r="O22" i="2"/>
  <c r="O23" i="2"/>
  <c r="O24" i="2"/>
  <c r="O25" i="2"/>
  <c r="O26" i="2"/>
  <c r="O27" i="2"/>
  <c r="O28" i="2"/>
  <c r="O29" i="2"/>
  <c r="O30" i="2"/>
  <c r="O18" i="2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E30" i="5"/>
  <c r="F30" i="5"/>
  <c r="E29" i="5"/>
  <c r="F29" i="5"/>
  <c r="E28" i="5"/>
  <c r="F28" i="5"/>
  <c r="E27" i="5"/>
  <c r="F27" i="5"/>
  <c r="E26" i="5"/>
  <c r="F26" i="5"/>
  <c r="E25" i="5"/>
  <c r="F25" i="5"/>
  <c r="E24" i="5"/>
  <c r="F24" i="5"/>
  <c r="E23" i="5"/>
  <c r="F23" i="5"/>
  <c r="E22" i="5"/>
  <c r="F22" i="5"/>
  <c r="E21" i="5"/>
  <c r="F21" i="5"/>
  <c r="E20" i="5"/>
  <c r="F20" i="5"/>
  <c r="E19" i="5"/>
  <c r="F19" i="5"/>
  <c r="G30" i="5"/>
  <c r="H30" i="5"/>
  <c r="G29" i="5"/>
  <c r="H29" i="5"/>
  <c r="G28" i="5"/>
  <c r="H28" i="5"/>
  <c r="G27" i="5"/>
  <c r="H27" i="5"/>
  <c r="G26" i="5"/>
  <c r="H26" i="5"/>
  <c r="G25" i="5"/>
  <c r="H25" i="5"/>
  <c r="G24" i="5"/>
  <c r="H24" i="5"/>
  <c r="G23" i="5"/>
  <c r="H23" i="5"/>
  <c r="G22" i="5"/>
  <c r="H22" i="5"/>
  <c r="G21" i="5"/>
  <c r="H21" i="5"/>
  <c r="G20" i="5"/>
  <c r="H20" i="5"/>
  <c r="G19" i="5"/>
  <c r="H19" i="5"/>
  <c r="C4" i="5"/>
  <c r="D4" i="5"/>
  <c r="AB4" i="1"/>
  <c r="G4" i="5"/>
  <c r="H4" i="5"/>
  <c r="M4" i="3"/>
  <c r="C17" i="5"/>
  <c r="D17" i="5"/>
  <c r="AC17" i="1"/>
  <c r="AB17" i="1"/>
  <c r="C16" i="5"/>
  <c r="D16" i="5"/>
  <c r="AC16" i="1"/>
  <c r="AB16" i="1"/>
  <c r="C15" i="5"/>
  <c r="D15" i="5"/>
  <c r="AC15" i="1"/>
  <c r="AB15" i="1"/>
  <c r="C14" i="5"/>
  <c r="D14" i="5"/>
  <c r="AC14" i="1"/>
  <c r="AB14" i="1"/>
  <c r="C13" i="5"/>
  <c r="D13" i="5"/>
  <c r="AC13" i="1"/>
  <c r="AB13" i="1"/>
  <c r="C12" i="5"/>
  <c r="D12" i="5"/>
  <c r="AC12" i="1"/>
  <c r="AB12" i="1"/>
  <c r="C11" i="5"/>
  <c r="D11" i="5"/>
  <c r="AC11" i="1"/>
  <c r="AB11" i="1"/>
  <c r="C10" i="5"/>
  <c r="D10" i="5"/>
  <c r="AC10" i="1"/>
  <c r="AB10" i="1"/>
  <c r="C9" i="5"/>
  <c r="D9" i="5"/>
  <c r="AC9" i="1"/>
  <c r="AB9" i="1"/>
  <c r="C8" i="5"/>
  <c r="D8" i="5"/>
  <c r="AC8" i="1"/>
  <c r="AB8" i="1"/>
  <c r="C7" i="5"/>
  <c r="D7" i="5"/>
  <c r="AC7" i="1"/>
  <c r="AB7" i="1"/>
  <c r="C6" i="5"/>
  <c r="D6" i="5"/>
  <c r="AC6" i="1"/>
  <c r="AB6" i="1"/>
  <c r="C5" i="5"/>
  <c r="D5" i="5"/>
  <c r="AC5" i="1"/>
  <c r="AB5" i="1"/>
  <c r="G17" i="5"/>
  <c r="H17" i="5"/>
  <c r="M17" i="3"/>
  <c r="G16" i="5"/>
  <c r="H16" i="5"/>
  <c r="M16" i="3"/>
  <c r="G15" i="5"/>
  <c r="H15" i="5"/>
  <c r="M15" i="3"/>
  <c r="G13" i="5"/>
  <c r="H13" i="5"/>
  <c r="M13" i="3"/>
  <c r="G14" i="5"/>
  <c r="H14" i="5"/>
  <c r="M14" i="3"/>
  <c r="G12" i="5"/>
  <c r="H12" i="5"/>
  <c r="M12" i="3"/>
  <c r="G11" i="5"/>
  <c r="H11" i="5"/>
  <c r="M11" i="3"/>
  <c r="G10" i="5"/>
  <c r="H10" i="5"/>
  <c r="M10" i="3"/>
  <c r="G9" i="5"/>
  <c r="H9" i="5"/>
  <c r="M9" i="3"/>
  <c r="G8" i="5"/>
  <c r="H8" i="5"/>
  <c r="M8" i="3"/>
  <c r="G6" i="5"/>
  <c r="H6" i="5"/>
  <c r="M6" i="3"/>
  <c r="G7" i="5"/>
  <c r="H7" i="5"/>
  <c r="M7" i="3"/>
  <c r="G5" i="5"/>
  <c r="H5" i="5"/>
  <c r="M5" i="3"/>
  <c r="E17" i="5"/>
  <c r="F17" i="5"/>
  <c r="O17" i="2"/>
  <c r="E16" i="5"/>
  <c r="F16" i="5"/>
  <c r="O16" i="2"/>
  <c r="E15" i="5"/>
  <c r="F15" i="5"/>
  <c r="O15" i="2"/>
  <c r="E14" i="5"/>
  <c r="F14" i="5"/>
  <c r="O14" i="2"/>
  <c r="E13" i="5"/>
  <c r="F13" i="5"/>
  <c r="O13" i="2"/>
  <c r="E12" i="5"/>
  <c r="F12" i="5"/>
  <c r="O12" i="2"/>
  <c r="E11" i="5"/>
  <c r="F11" i="5"/>
  <c r="O11" i="2"/>
  <c r="E10" i="5"/>
  <c r="F10" i="5"/>
  <c r="O10" i="2"/>
  <c r="E9" i="5"/>
  <c r="F9" i="5"/>
  <c r="O9" i="2"/>
  <c r="E8" i="5"/>
  <c r="F8" i="5"/>
  <c r="O8" i="2"/>
  <c r="E7" i="5"/>
  <c r="F7" i="5"/>
  <c r="O7" i="2"/>
  <c r="E6" i="5"/>
  <c r="F6" i="5"/>
  <c r="O6" i="2"/>
  <c r="E5" i="5"/>
  <c r="F5" i="5"/>
  <c r="O5" i="2"/>
  <c r="E4" i="5"/>
  <c r="F4" i="5"/>
  <c r="O4" i="2"/>
  <c r="K30" i="5"/>
  <c r="L30" i="5"/>
  <c r="K19" i="5"/>
  <c r="L19" i="5"/>
  <c r="K21" i="5"/>
  <c r="L21" i="5"/>
  <c r="K23" i="5"/>
  <c r="L23" i="5"/>
  <c r="K25" i="5"/>
  <c r="L25" i="5"/>
  <c r="K27" i="5"/>
  <c r="L27" i="5"/>
  <c r="K29" i="5"/>
  <c r="L29" i="5"/>
  <c r="K18" i="5"/>
  <c r="L18" i="5"/>
  <c r="K20" i="5"/>
  <c r="L20" i="5"/>
  <c r="K22" i="5"/>
  <c r="L22" i="5"/>
  <c r="K24" i="5"/>
  <c r="L24" i="5"/>
  <c r="K26" i="5"/>
  <c r="L26" i="5"/>
  <c r="K28" i="5"/>
  <c r="L28" i="5"/>
  <c r="I22" i="5"/>
  <c r="J22" i="5"/>
  <c r="M22" i="5"/>
  <c r="I23" i="5"/>
  <c r="J23" i="5"/>
  <c r="M23" i="5"/>
  <c r="I24" i="5"/>
  <c r="J24" i="5"/>
  <c r="M24" i="5"/>
  <c r="I25" i="5"/>
  <c r="J25" i="5"/>
  <c r="M25" i="5"/>
  <c r="I26" i="5"/>
  <c r="J26" i="5"/>
  <c r="M26" i="5"/>
  <c r="I27" i="5"/>
  <c r="J27" i="5"/>
  <c r="M27" i="5"/>
  <c r="I28" i="5"/>
  <c r="J28" i="5"/>
  <c r="M28" i="5"/>
  <c r="I29" i="5"/>
  <c r="J29" i="5"/>
  <c r="M29" i="5"/>
  <c r="I30" i="5"/>
  <c r="J30" i="5"/>
  <c r="M30" i="5"/>
  <c r="I19" i="5"/>
  <c r="J19" i="5"/>
  <c r="M19" i="5"/>
  <c r="I20" i="5"/>
  <c r="J20" i="5"/>
  <c r="M20" i="5"/>
  <c r="I21" i="5"/>
  <c r="J21" i="5"/>
  <c r="M21" i="5"/>
  <c r="K17" i="5"/>
  <c r="L17" i="5"/>
  <c r="K16" i="5"/>
  <c r="L16" i="5"/>
  <c r="I4" i="5"/>
  <c r="J4" i="5"/>
  <c r="N4" i="4"/>
  <c r="I17" i="5"/>
  <c r="J17" i="5"/>
  <c r="M17" i="5"/>
  <c r="O17" i="5"/>
  <c r="N17" i="4"/>
  <c r="N17" i="5"/>
  <c r="I16" i="5"/>
  <c r="J16" i="5"/>
  <c r="M16" i="5"/>
  <c r="O16" i="5"/>
  <c r="N16" i="5"/>
  <c r="N16" i="4"/>
  <c r="I15" i="5"/>
  <c r="J15" i="5"/>
  <c r="M15" i="5"/>
  <c r="O15" i="5"/>
  <c r="N15" i="4"/>
  <c r="I14" i="5"/>
  <c r="J14" i="5"/>
  <c r="M14" i="5"/>
  <c r="O14" i="5"/>
  <c r="N14" i="4"/>
  <c r="I13" i="5"/>
  <c r="J13" i="5"/>
  <c r="M13" i="5"/>
  <c r="O13" i="5"/>
  <c r="N13" i="5"/>
  <c r="N13" i="4"/>
  <c r="I12" i="5"/>
  <c r="J12" i="5"/>
  <c r="M12" i="5"/>
  <c r="O12" i="5"/>
  <c r="N12" i="5"/>
  <c r="N12" i="4"/>
  <c r="I11" i="5"/>
  <c r="J11" i="5"/>
  <c r="M11" i="5"/>
  <c r="O11" i="5"/>
  <c r="N11" i="4"/>
  <c r="N11" i="5"/>
  <c r="I10" i="5"/>
  <c r="J10" i="5"/>
  <c r="M10" i="5"/>
  <c r="O10" i="5"/>
  <c r="N10" i="5"/>
  <c r="N10" i="4"/>
  <c r="I9" i="5"/>
  <c r="J9" i="5"/>
  <c r="M9" i="5"/>
  <c r="O9" i="5"/>
  <c r="N9" i="4"/>
  <c r="N9" i="5"/>
  <c r="I8" i="5"/>
  <c r="J8" i="5"/>
  <c r="M8" i="5"/>
  <c r="O8" i="5"/>
  <c r="N8" i="5"/>
  <c r="N8" i="4"/>
  <c r="I7" i="5"/>
  <c r="J7" i="5"/>
  <c r="M7" i="5"/>
  <c r="O7" i="5"/>
  <c r="N7" i="5"/>
  <c r="N7" i="4"/>
  <c r="I6" i="5"/>
  <c r="J6" i="5"/>
  <c r="M6" i="5"/>
  <c r="O6" i="5"/>
  <c r="N6" i="5"/>
  <c r="N6" i="4"/>
  <c r="I5" i="5"/>
  <c r="J5" i="5"/>
  <c r="M5" i="5"/>
  <c r="O5" i="5"/>
  <c r="N5" i="5"/>
  <c r="N5" i="4"/>
  <c r="N15" i="5"/>
  <c r="N14" i="5"/>
  <c r="K15" i="5"/>
  <c r="L15" i="5"/>
  <c r="K14" i="5"/>
  <c r="L14" i="5"/>
  <c r="K13" i="5"/>
  <c r="L13" i="5"/>
  <c r="K12" i="5"/>
  <c r="L12" i="5"/>
  <c r="K11" i="5"/>
  <c r="L11" i="5"/>
  <c r="K10" i="5"/>
  <c r="L10" i="5"/>
  <c r="K9" i="5"/>
  <c r="L9" i="5"/>
  <c r="K8" i="5"/>
  <c r="L8" i="5"/>
  <c r="K7" i="5"/>
  <c r="L7" i="5"/>
  <c r="K6" i="5"/>
  <c r="L6" i="5"/>
  <c r="K5" i="5"/>
  <c r="L5" i="5"/>
  <c r="M4" i="5"/>
  <c r="O4" i="5"/>
  <c r="K4" i="5"/>
  <c r="L4" i="5"/>
  <c r="A18" i="1"/>
  <c r="A18" i="3"/>
  <c r="A18" i="4"/>
  <c r="A22" i="1"/>
  <c r="A22" i="3"/>
  <c r="A22" i="4"/>
  <c r="A20" i="4"/>
  <c r="A20" i="1"/>
  <c r="A20" i="3"/>
  <c r="A21" i="3"/>
  <c r="A21" i="1"/>
  <c r="A21" i="2"/>
  <c r="A21" i="4"/>
  <c r="A22" i="2"/>
  <c r="A19" i="3"/>
  <c r="A19" i="1"/>
  <c r="A19" i="4"/>
  <c r="A19" i="2"/>
  <c r="A20" i="2"/>
  <c r="A18" i="2"/>
</calcChain>
</file>

<file path=xl/sharedStrings.xml><?xml version="1.0" encoding="utf-8"?>
<sst xmlns="http://schemas.openxmlformats.org/spreadsheetml/2006/main" count="460" uniqueCount="94">
  <si>
    <t>Plan</t>
  </si>
  <si>
    <t>Band</t>
  </si>
  <si>
    <t xml:space="preserve">Mark </t>
  </si>
  <si>
    <t xml:space="preserve">Aggregated % (to account for weighting of components) </t>
  </si>
  <si>
    <t>Aggregated score/204</t>
  </si>
  <si>
    <t xml:space="preserve">% Weighting </t>
  </si>
  <si>
    <t>y</t>
  </si>
  <si>
    <t>Colour coding</t>
  </si>
  <si>
    <t>Distinction</t>
  </si>
  <si>
    <t>Merit</t>
  </si>
  <si>
    <t>L2 Pass</t>
  </si>
  <si>
    <t>L1 Pass</t>
  </si>
  <si>
    <t>Fail</t>
  </si>
  <si>
    <t>A*</t>
  </si>
  <si>
    <t>A</t>
  </si>
  <si>
    <t>B</t>
  </si>
  <si>
    <t>C</t>
  </si>
  <si>
    <t>Project Unigol/Individual Project (UMS)/150</t>
  </si>
  <si>
    <t>Mentergarwch ac Chyflogadwyedd/Enterprise and Employability /36</t>
  </si>
  <si>
    <t>Project Unigol/ Individual Project /96</t>
  </si>
  <si>
    <t>Mentergarwch ac Chyflogadwyedd/ Enterpise and Employability (UMS)/60</t>
  </si>
  <si>
    <t>Dinasyddiaeth Fyd-Eang/ Global Citizenship /36</t>
  </si>
  <si>
    <t>Dinasyddiaeth Fyd-Eang/ Global Citizenship (UMS)/45</t>
  </si>
  <si>
    <t>Her y Gymuned/ Community Challenge /36</t>
  </si>
  <si>
    <t>Her y Gymuned/ Community Challenge (UMS)/45</t>
  </si>
  <si>
    <t>Poppy</t>
  </si>
  <si>
    <t>Harold</t>
  </si>
  <si>
    <t>Jon</t>
  </si>
  <si>
    <t>Gwyn</t>
  </si>
  <si>
    <t>Arwen</t>
  </si>
  <si>
    <t>Sian</t>
  </si>
  <si>
    <t>George</t>
  </si>
  <si>
    <t>Genna</t>
  </si>
  <si>
    <t>Rachel</t>
  </si>
  <si>
    <t>Liam</t>
  </si>
  <si>
    <t>Casey</t>
  </si>
  <si>
    <t>Kai</t>
  </si>
  <si>
    <t>Ethan</t>
  </si>
  <si>
    <t>Lou</t>
  </si>
  <si>
    <t>Pass</t>
  </si>
  <si>
    <t>Pass*</t>
  </si>
  <si>
    <t>David</t>
  </si>
  <si>
    <t>Myfyriwr</t>
  </si>
  <si>
    <t>Tasgau</t>
  </si>
  <si>
    <t>DD1</t>
  </si>
  <si>
    <t>DD2</t>
  </si>
  <si>
    <t>DD3</t>
  </si>
  <si>
    <t>Enw/Cyfenw</t>
  </si>
  <si>
    <t>Safbwynt Personol</t>
  </si>
  <si>
    <t>Pecyn Codi Ymwybyddiaeth</t>
  </si>
  <si>
    <t>Myfyrdod Personol</t>
  </si>
  <si>
    <t>Marc</t>
  </si>
  <si>
    <t>Cyfanswm Marciau</t>
  </si>
  <si>
    <t>methu</t>
  </si>
  <si>
    <t>llwyddo L1</t>
  </si>
  <si>
    <t>Llwyddo L2</t>
  </si>
  <si>
    <t>Teilyngdod</t>
  </si>
  <si>
    <t>Rhagoriaeth</t>
  </si>
  <si>
    <t>Bagloriaeth Cymru- Dinasyddiaeth Fyd-Eang</t>
  </si>
  <si>
    <t>Bagloriaeth Cymru- Her y Gymuned</t>
  </si>
  <si>
    <t>eEnw/Cyfenw</t>
  </si>
  <si>
    <t>Archwiliad Sgil Personol</t>
  </si>
  <si>
    <t>Cofnod Cyfranogiad</t>
  </si>
  <si>
    <t>Cyfanswm marciau</t>
  </si>
  <si>
    <t>DD 1</t>
  </si>
  <si>
    <t>Bagloriaeth Cymru - Mentergarwch ac Chyflogadwyedd</t>
  </si>
  <si>
    <t>Tystiolaeth i'w asesu</t>
  </si>
  <si>
    <t>Archwiliad Sgiliau</t>
  </si>
  <si>
    <t>Arddangosfa Weledol</t>
  </si>
  <si>
    <t>Cofnodion Cyfarfodydd</t>
  </si>
  <si>
    <t>Datganiad Canarnhad</t>
  </si>
  <si>
    <t xml:space="preserve"> Marc</t>
  </si>
  <si>
    <t>Bagloriaeth Cymru - Project Unigol</t>
  </si>
  <si>
    <t>Project Unigol</t>
  </si>
  <si>
    <t>Nodau</t>
  </si>
  <si>
    <t>Rhesymeg</t>
  </si>
  <si>
    <t>data eiladd a chynradd priodol</t>
  </si>
  <si>
    <t>Cyflwyniad Digidol</t>
  </si>
  <si>
    <t>Dadansoddi Data</t>
  </si>
  <si>
    <t>Amrywiaeth o sgiliau</t>
  </si>
  <si>
    <t>Casgliadau</t>
  </si>
  <si>
    <t>Gwerthuso</t>
  </si>
  <si>
    <t>DD4</t>
  </si>
  <si>
    <t>DD5</t>
  </si>
  <si>
    <t>DD6</t>
  </si>
  <si>
    <t>DD7</t>
  </si>
  <si>
    <t>DD8</t>
  </si>
  <si>
    <t>Cyfanswm</t>
  </si>
  <si>
    <t>TROSOLWG O'R PERFFORMIAD</t>
  </si>
  <si>
    <t>Cyfanswm UMS (uchafswm 300)</t>
  </si>
  <si>
    <t>Nifer o unedau wedi pasio</t>
  </si>
  <si>
    <t>Gradd debygol os yw'r holl unedau wedi pasio</t>
  </si>
  <si>
    <t>Ffiniau'r graddau</t>
  </si>
  <si>
    <t>Gradd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</si>
</sst>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/>
    <xf numFmtId="0" fontId="0" fillId="6" borderId="1" xfId="0" applyFill="1" applyBorder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2" fontId="0" fillId="0" borderId="1" xfId="0" applyNumberFormat="1" applyBorder="1"/>
    <xf numFmtId="0" fontId="3" fillId="6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5" borderId="0" xfId="0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2" borderId="1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5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E13" sqref="E13"/>
    </sheetView>
  </sheetViews>
  <sheetFormatPr defaultColWidth="8.85546875" defaultRowHeight="15" x14ac:dyDescent="0.25"/>
  <cols>
    <col min="1" max="1" width="12.42578125" customWidth="1"/>
    <col min="2" max="2" width="13.28515625" customWidth="1"/>
    <col min="3" max="7" width="15.42578125" customWidth="1"/>
    <col min="8" max="8" width="6.7109375" hidden="1" customWidth="1"/>
    <col min="9" max="9" width="6.7109375" bestFit="1" customWidth="1"/>
    <col min="10" max="10" width="4.7109375" hidden="1" customWidth="1"/>
    <col min="11" max="11" width="6.7109375" bestFit="1" customWidth="1"/>
    <col min="12" max="12" width="5.7109375" hidden="1" customWidth="1"/>
    <col min="13" max="13" width="6.85546875" bestFit="1" customWidth="1"/>
    <col min="14" max="14" width="11.7109375" customWidth="1"/>
    <col min="15" max="15" width="10.140625" bestFit="1" customWidth="1"/>
  </cols>
  <sheetData>
    <row r="1" spans="1:18" ht="18.75" x14ac:dyDescent="0.3">
      <c r="A1" s="7" t="s">
        <v>65</v>
      </c>
    </row>
    <row r="2" spans="1:18" ht="15.75" x14ac:dyDescent="0.25">
      <c r="A2" s="43" t="s">
        <v>42</v>
      </c>
      <c r="B2" s="43"/>
      <c r="C2" s="42" t="s">
        <v>66</v>
      </c>
      <c r="D2" s="42"/>
      <c r="E2" s="42"/>
      <c r="F2" s="42"/>
      <c r="G2" s="42"/>
      <c r="H2" s="40" t="s">
        <v>44</v>
      </c>
      <c r="I2" s="41"/>
      <c r="J2" s="40" t="s">
        <v>45</v>
      </c>
      <c r="K2" s="40"/>
      <c r="L2" s="40" t="s">
        <v>46</v>
      </c>
      <c r="M2" s="41"/>
      <c r="N2" s="8"/>
    </row>
    <row r="3" spans="1:18" ht="63" customHeight="1" x14ac:dyDescent="0.25">
      <c r="A3" s="38" t="s">
        <v>47</v>
      </c>
      <c r="B3" s="39"/>
      <c r="C3" s="11" t="s">
        <v>67</v>
      </c>
      <c r="D3" s="11" t="s">
        <v>68</v>
      </c>
      <c r="E3" s="11" t="s">
        <v>69</v>
      </c>
      <c r="F3" s="11" t="s">
        <v>70</v>
      </c>
      <c r="G3" s="11" t="s">
        <v>50</v>
      </c>
      <c r="H3" s="16" t="s">
        <v>1</v>
      </c>
      <c r="I3" s="16" t="s">
        <v>51</v>
      </c>
      <c r="J3" s="16" t="s">
        <v>1</v>
      </c>
      <c r="K3" s="16" t="s">
        <v>51</v>
      </c>
      <c r="L3" s="16" t="s">
        <v>1</v>
      </c>
      <c r="M3" s="16" t="s">
        <v>71</v>
      </c>
      <c r="N3" s="15" t="s">
        <v>63</v>
      </c>
    </row>
    <row r="4" spans="1:18" x14ac:dyDescent="0.25">
      <c r="A4" s="36" t="s">
        <v>25</v>
      </c>
      <c r="B4" s="37"/>
      <c r="C4" s="1" t="s">
        <v>6</v>
      </c>
      <c r="D4" s="1" t="s">
        <v>6</v>
      </c>
      <c r="E4" s="1" t="s">
        <v>6</v>
      </c>
      <c r="F4" s="1" t="s">
        <v>6</v>
      </c>
      <c r="G4" s="1" t="s">
        <v>6</v>
      </c>
      <c r="H4" s="6">
        <v>3</v>
      </c>
      <c r="I4" s="6">
        <v>12</v>
      </c>
      <c r="J4" s="6">
        <v>3</v>
      </c>
      <c r="K4" s="6">
        <v>12</v>
      </c>
      <c r="L4" s="6">
        <v>4</v>
      </c>
      <c r="M4" s="6">
        <v>12</v>
      </c>
      <c r="N4" s="3">
        <f>SUM(I4+K4+M4)</f>
        <v>36</v>
      </c>
      <c r="O4" t="str">
        <f>LOOKUP(N4,$Q$4:$R$8)</f>
        <v>Rhagoriaeth</v>
      </c>
      <c r="P4">
        <f>IF(N4&gt;=5,1,0)</f>
        <v>1</v>
      </c>
      <c r="Q4">
        <v>0</v>
      </c>
      <c r="R4" t="s">
        <v>53</v>
      </c>
    </row>
    <row r="5" spans="1:18" x14ac:dyDescent="0.25">
      <c r="A5" s="36" t="s">
        <v>26</v>
      </c>
      <c r="B5" s="37"/>
      <c r="C5" s="1" t="s">
        <v>6</v>
      </c>
      <c r="D5" s="1" t="s">
        <v>6</v>
      </c>
      <c r="E5" s="1" t="s">
        <v>6</v>
      </c>
      <c r="F5" s="1" t="s">
        <v>6</v>
      </c>
      <c r="G5" s="1" t="s">
        <v>6</v>
      </c>
      <c r="H5" s="6"/>
      <c r="I5" s="6">
        <v>8</v>
      </c>
      <c r="J5" s="6"/>
      <c r="K5" s="6">
        <v>7</v>
      </c>
      <c r="L5" s="6"/>
      <c r="M5" s="6">
        <v>7</v>
      </c>
      <c r="N5" s="3">
        <f t="shared" ref="N5:N30" si="0">SUM(I5+K5+M5)</f>
        <v>22</v>
      </c>
      <c r="O5" t="str">
        <f t="shared" ref="O5:O30" si="1">LOOKUP(N5,$Q$4:$R$8)</f>
        <v>Teilyngdod</v>
      </c>
      <c r="P5">
        <f t="shared" ref="P5:P30" si="2">IF(N5&gt;=5,1,0)</f>
        <v>1</v>
      </c>
      <c r="Q5">
        <v>5</v>
      </c>
      <c r="R5" t="s">
        <v>54</v>
      </c>
    </row>
    <row r="6" spans="1:18" x14ac:dyDescent="0.25">
      <c r="A6" s="36" t="s">
        <v>27</v>
      </c>
      <c r="B6" s="37"/>
      <c r="C6" s="1" t="s">
        <v>6</v>
      </c>
      <c r="D6" s="1" t="s">
        <v>6</v>
      </c>
      <c r="E6" s="1" t="s">
        <v>6</v>
      </c>
      <c r="F6" s="1" t="s">
        <v>6</v>
      </c>
      <c r="G6" s="1" t="s">
        <v>6</v>
      </c>
      <c r="H6" s="6"/>
      <c r="I6" s="6">
        <v>8</v>
      </c>
      <c r="J6" s="6"/>
      <c r="K6" s="6">
        <v>7</v>
      </c>
      <c r="L6" s="6"/>
      <c r="M6" s="6">
        <v>6</v>
      </c>
      <c r="N6" s="34">
        <f t="shared" si="0"/>
        <v>21</v>
      </c>
      <c r="O6" t="str">
        <f t="shared" si="1"/>
        <v>Llwyddo L2</v>
      </c>
      <c r="P6">
        <f t="shared" si="2"/>
        <v>1</v>
      </c>
      <c r="Q6">
        <v>15</v>
      </c>
      <c r="R6" t="s">
        <v>55</v>
      </c>
    </row>
    <row r="7" spans="1:18" x14ac:dyDescent="0.25">
      <c r="A7" s="36" t="s">
        <v>28</v>
      </c>
      <c r="B7" s="37"/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6"/>
      <c r="I7" s="6">
        <v>1</v>
      </c>
      <c r="J7" s="6"/>
      <c r="K7" s="6">
        <v>2</v>
      </c>
      <c r="L7" s="6"/>
      <c r="M7" s="6">
        <v>3</v>
      </c>
      <c r="N7" s="3">
        <f t="shared" si="0"/>
        <v>6</v>
      </c>
      <c r="O7" t="str">
        <f t="shared" si="1"/>
        <v>llwyddo L1</v>
      </c>
      <c r="P7">
        <f t="shared" si="2"/>
        <v>1</v>
      </c>
      <c r="Q7">
        <v>22</v>
      </c>
      <c r="R7" t="s">
        <v>56</v>
      </c>
    </row>
    <row r="8" spans="1:18" x14ac:dyDescent="0.25">
      <c r="A8" s="36" t="s">
        <v>29</v>
      </c>
      <c r="B8" s="37"/>
      <c r="C8" s="1" t="s">
        <v>6</v>
      </c>
      <c r="D8" s="1" t="s">
        <v>6</v>
      </c>
      <c r="E8" s="1" t="s">
        <v>6</v>
      </c>
      <c r="F8" s="1" t="s">
        <v>6</v>
      </c>
      <c r="G8" s="1" t="s">
        <v>6</v>
      </c>
      <c r="H8" s="6"/>
      <c r="I8" s="6">
        <v>6</v>
      </c>
      <c r="J8" s="6"/>
      <c r="K8" s="6">
        <v>5</v>
      </c>
      <c r="L8" s="6"/>
      <c r="M8" s="6">
        <v>12</v>
      </c>
      <c r="N8" s="3">
        <f t="shared" si="0"/>
        <v>23</v>
      </c>
      <c r="O8" t="str">
        <f t="shared" si="1"/>
        <v>Teilyngdod</v>
      </c>
      <c r="P8">
        <f t="shared" si="2"/>
        <v>1</v>
      </c>
      <c r="Q8">
        <v>28</v>
      </c>
      <c r="R8" t="s">
        <v>57</v>
      </c>
    </row>
    <row r="9" spans="1:18" x14ac:dyDescent="0.25">
      <c r="A9" s="36" t="s">
        <v>30</v>
      </c>
      <c r="B9" s="37"/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H9" s="6"/>
      <c r="I9" s="6">
        <v>2</v>
      </c>
      <c r="J9" s="6"/>
      <c r="K9" s="6">
        <v>1</v>
      </c>
      <c r="L9" s="6"/>
      <c r="M9" s="6">
        <v>6</v>
      </c>
      <c r="N9" s="3">
        <f t="shared" si="0"/>
        <v>9</v>
      </c>
      <c r="O9" t="str">
        <f t="shared" si="1"/>
        <v>llwyddo L1</v>
      </c>
      <c r="P9">
        <f t="shared" si="2"/>
        <v>1</v>
      </c>
    </row>
    <row r="10" spans="1:18" x14ac:dyDescent="0.25">
      <c r="A10" s="36" t="s">
        <v>31</v>
      </c>
      <c r="B10" s="37"/>
      <c r="C10" s="1" t="s">
        <v>6</v>
      </c>
      <c r="D10" s="1" t="s">
        <v>6</v>
      </c>
      <c r="E10" s="1" t="s">
        <v>6</v>
      </c>
      <c r="F10" s="1" t="s">
        <v>6</v>
      </c>
      <c r="G10" s="1" t="s">
        <v>6</v>
      </c>
      <c r="H10" s="6"/>
      <c r="I10" s="6">
        <v>8</v>
      </c>
      <c r="J10" s="6"/>
      <c r="K10" s="6">
        <v>4</v>
      </c>
      <c r="L10" s="6"/>
      <c r="M10" s="6">
        <v>12</v>
      </c>
      <c r="N10" s="3">
        <f t="shared" si="0"/>
        <v>24</v>
      </c>
      <c r="O10" t="str">
        <f t="shared" si="1"/>
        <v>Teilyngdod</v>
      </c>
      <c r="P10">
        <f t="shared" si="2"/>
        <v>1</v>
      </c>
    </row>
    <row r="11" spans="1:18" x14ac:dyDescent="0.25">
      <c r="A11" s="36" t="s">
        <v>32</v>
      </c>
      <c r="B11" s="37"/>
      <c r="C11" s="1" t="s">
        <v>6</v>
      </c>
      <c r="D11" s="1" t="s">
        <v>6</v>
      </c>
      <c r="E11" s="1" t="s">
        <v>6</v>
      </c>
      <c r="F11" s="1" t="s">
        <v>6</v>
      </c>
      <c r="G11" s="1" t="s">
        <v>6</v>
      </c>
      <c r="H11" s="6"/>
      <c r="I11" s="6">
        <v>2</v>
      </c>
      <c r="J11" s="6"/>
      <c r="K11" s="6">
        <v>3</v>
      </c>
      <c r="L11" s="6"/>
      <c r="M11" s="6">
        <v>11</v>
      </c>
      <c r="N11" s="3">
        <f t="shared" si="0"/>
        <v>16</v>
      </c>
      <c r="O11" t="str">
        <f t="shared" si="1"/>
        <v>Llwyddo L2</v>
      </c>
      <c r="P11">
        <f t="shared" si="2"/>
        <v>1</v>
      </c>
    </row>
    <row r="12" spans="1:18" x14ac:dyDescent="0.25">
      <c r="A12" s="36" t="s">
        <v>33</v>
      </c>
      <c r="B12" s="37"/>
      <c r="C12" s="1" t="s">
        <v>6</v>
      </c>
      <c r="D12" s="1" t="s">
        <v>6</v>
      </c>
      <c r="E12" s="1" t="s">
        <v>6</v>
      </c>
      <c r="F12" s="1" t="s">
        <v>6</v>
      </c>
      <c r="G12" s="1" t="s">
        <v>6</v>
      </c>
      <c r="H12" s="6"/>
      <c r="I12" s="6">
        <v>3</v>
      </c>
      <c r="J12" s="6"/>
      <c r="K12" s="6">
        <v>1</v>
      </c>
      <c r="L12" s="6"/>
      <c r="M12" s="6">
        <v>11</v>
      </c>
      <c r="N12" s="3">
        <f t="shared" si="0"/>
        <v>15</v>
      </c>
      <c r="O12" t="str">
        <f t="shared" si="1"/>
        <v>Llwyddo L2</v>
      </c>
      <c r="P12">
        <f t="shared" si="2"/>
        <v>1</v>
      </c>
    </row>
    <row r="13" spans="1:18" x14ac:dyDescent="0.25">
      <c r="A13" s="36" t="s">
        <v>34</v>
      </c>
      <c r="B13" s="37"/>
      <c r="C13" s="1" t="s">
        <v>6</v>
      </c>
      <c r="D13" s="1" t="s">
        <v>6</v>
      </c>
      <c r="E13" s="1" t="s">
        <v>6</v>
      </c>
      <c r="F13" s="1" t="s">
        <v>6</v>
      </c>
      <c r="G13" s="1" t="s">
        <v>6</v>
      </c>
      <c r="H13" s="6"/>
      <c r="I13" s="6">
        <v>1</v>
      </c>
      <c r="J13" s="6"/>
      <c r="K13" s="6">
        <v>4</v>
      </c>
      <c r="L13" s="6"/>
      <c r="M13" s="6">
        <v>10</v>
      </c>
      <c r="N13" s="3">
        <f t="shared" si="0"/>
        <v>15</v>
      </c>
      <c r="O13" t="str">
        <f t="shared" si="1"/>
        <v>Llwyddo L2</v>
      </c>
      <c r="P13">
        <f t="shared" si="2"/>
        <v>1</v>
      </c>
    </row>
    <row r="14" spans="1:18" x14ac:dyDescent="0.25">
      <c r="A14" s="36" t="s">
        <v>35</v>
      </c>
      <c r="B14" s="37"/>
      <c r="C14" s="1" t="s">
        <v>6</v>
      </c>
      <c r="D14" s="1" t="s">
        <v>6</v>
      </c>
      <c r="E14" s="1" t="s">
        <v>6</v>
      </c>
      <c r="F14" s="1" t="s">
        <v>6</v>
      </c>
      <c r="G14" s="1" t="s">
        <v>6</v>
      </c>
      <c r="H14" s="6"/>
      <c r="I14" s="6">
        <v>1</v>
      </c>
      <c r="J14" s="6"/>
      <c r="K14" s="6">
        <v>5</v>
      </c>
      <c r="L14" s="6"/>
      <c r="M14" s="6">
        <v>6</v>
      </c>
      <c r="N14" s="3">
        <f t="shared" si="0"/>
        <v>12</v>
      </c>
      <c r="O14" t="str">
        <f t="shared" si="1"/>
        <v>llwyddo L1</v>
      </c>
      <c r="P14">
        <f t="shared" si="2"/>
        <v>1</v>
      </c>
    </row>
    <row r="15" spans="1:18" x14ac:dyDescent="0.25">
      <c r="A15" s="36" t="s">
        <v>36</v>
      </c>
      <c r="B15" s="37"/>
      <c r="C15" s="1" t="s">
        <v>6</v>
      </c>
      <c r="D15" s="1" t="s">
        <v>6</v>
      </c>
      <c r="E15" s="1" t="s">
        <v>6</v>
      </c>
      <c r="F15" s="1" t="s">
        <v>6</v>
      </c>
      <c r="G15" s="1" t="s">
        <v>6</v>
      </c>
      <c r="H15" s="6"/>
      <c r="I15" s="6">
        <v>5</v>
      </c>
      <c r="J15" s="6"/>
      <c r="K15" s="6">
        <v>6</v>
      </c>
      <c r="L15" s="6"/>
      <c r="M15" s="6">
        <v>6</v>
      </c>
      <c r="N15" s="3">
        <f t="shared" si="0"/>
        <v>17</v>
      </c>
      <c r="O15" t="str">
        <f t="shared" si="1"/>
        <v>Llwyddo L2</v>
      </c>
      <c r="P15">
        <f t="shared" si="2"/>
        <v>1</v>
      </c>
    </row>
    <row r="16" spans="1:18" x14ac:dyDescent="0.25">
      <c r="A16" s="36" t="s">
        <v>37</v>
      </c>
      <c r="B16" s="37"/>
      <c r="C16" s="1" t="s">
        <v>6</v>
      </c>
      <c r="D16" s="1" t="s">
        <v>6</v>
      </c>
      <c r="E16" s="1" t="s">
        <v>6</v>
      </c>
      <c r="F16" s="1" t="s">
        <v>6</v>
      </c>
      <c r="G16" s="1" t="s">
        <v>6</v>
      </c>
      <c r="H16" s="6"/>
      <c r="I16" s="6">
        <v>6</v>
      </c>
      <c r="J16" s="6"/>
      <c r="K16" s="6">
        <v>9</v>
      </c>
      <c r="L16" s="6"/>
      <c r="M16" s="6">
        <v>12</v>
      </c>
      <c r="N16" s="3">
        <f t="shared" si="0"/>
        <v>27</v>
      </c>
      <c r="O16" t="str">
        <f t="shared" si="1"/>
        <v>Teilyngdod</v>
      </c>
      <c r="P16">
        <f t="shared" si="2"/>
        <v>1</v>
      </c>
    </row>
    <row r="17" spans="1:16" x14ac:dyDescent="0.25">
      <c r="A17" s="36" t="s">
        <v>38</v>
      </c>
      <c r="B17" s="37"/>
      <c r="C17" s="1" t="s">
        <v>6</v>
      </c>
      <c r="D17" s="1" t="s">
        <v>6</v>
      </c>
      <c r="E17" s="1" t="s">
        <v>6</v>
      </c>
      <c r="F17" s="1" t="s">
        <v>6</v>
      </c>
      <c r="G17" s="1" t="s">
        <v>6</v>
      </c>
      <c r="H17" s="6"/>
      <c r="I17" s="6">
        <v>7</v>
      </c>
      <c r="J17" s="6"/>
      <c r="K17" s="6">
        <v>11</v>
      </c>
      <c r="L17" s="6"/>
      <c r="M17" s="6">
        <v>2</v>
      </c>
      <c r="N17" s="3">
        <f t="shared" si="0"/>
        <v>20</v>
      </c>
      <c r="O17" t="str">
        <f t="shared" si="1"/>
        <v>Llwyddo L2</v>
      </c>
      <c r="P17">
        <f t="shared" si="2"/>
        <v>1</v>
      </c>
    </row>
    <row r="18" spans="1:16" x14ac:dyDescent="0.25">
      <c r="A18" s="36" t="str">
        <f>'CRYNODEB DISGYBL'!A18:B18</f>
        <v>David</v>
      </c>
      <c r="B18" s="37"/>
      <c r="C18" s="1" t="s">
        <v>6</v>
      </c>
      <c r="D18" s="1" t="s">
        <v>6</v>
      </c>
      <c r="E18" s="1" t="s">
        <v>6</v>
      </c>
      <c r="F18" s="1" t="s">
        <v>6</v>
      </c>
      <c r="G18" s="1" t="s">
        <v>6</v>
      </c>
      <c r="H18" s="6"/>
      <c r="I18" s="6">
        <v>7</v>
      </c>
      <c r="J18" s="6"/>
      <c r="K18" s="6">
        <v>8</v>
      </c>
      <c r="L18" s="6"/>
      <c r="M18" s="6">
        <v>9</v>
      </c>
      <c r="N18" s="3">
        <f t="shared" si="0"/>
        <v>24</v>
      </c>
      <c r="O18" t="str">
        <f t="shared" si="1"/>
        <v>Teilyngdod</v>
      </c>
      <c r="P18">
        <f t="shared" si="2"/>
        <v>1</v>
      </c>
    </row>
    <row r="19" spans="1:16" x14ac:dyDescent="0.25">
      <c r="A19" s="36">
        <f>'CRYNODEB DISGYBL'!A19:B19</f>
        <v>0</v>
      </c>
      <c r="B19" s="37"/>
      <c r="C19" s="1"/>
      <c r="D19" s="1"/>
      <c r="E19" s="1"/>
      <c r="F19" s="1"/>
      <c r="G19" s="1"/>
      <c r="H19" s="6"/>
      <c r="I19" s="6"/>
      <c r="J19" s="6"/>
      <c r="K19" s="6"/>
      <c r="L19" s="6"/>
      <c r="M19" s="6"/>
      <c r="N19" s="3">
        <f t="shared" si="0"/>
        <v>0</v>
      </c>
      <c r="O19" t="str">
        <f>LOOKUP(N19,$Q$4:$R$8)</f>
        <v>methu</v>
      </c>
      <c r="P19">
        <f t="shared" si="2"/>
        <v>0</v>
      </c>
    </row>
    <row r="20" spans="1:16" x14ac:dyDescent="0.25">
      <c r="A20" s="36">
        <f>'CRYNODEB DISGYBL'!A20:B20</f>
        <v>0</v>
      </c>
      <c r="B20" s="37"/>
      <c r="C20" s="1"/>
      <c r="D20" s="1"/>
      <c r="E20" s="1"/>
      <c r="F20" s="1"/>
      <c r="G20" s="1"/>
      <c r="H20" s="6"/>
      <c r="I20" s="6"/>
      <c r="J20" s="6"/>
      <c r="K20" s="6"/>
      <c r="L20" s="6"/>
      <c r="M20" s="6"/>
      <c r="N20" s="3">
        <f t="shared" si="0"/>
        <v>0</v>
      </c>
      <c r="O20" t="str">
        <f t="shared" si="1"/>
        <v>methu</v>
      </c>
      <c r="P20">
        <f t="shared" si="2"/>
        <v>0</v>
      </c>
    </row>
    <row r="21" spans="1:16" x14ac:dyDescent="0.25">
      <c r="A21" s="36">
        <f>'CRYNODEB DISGYBL'!A21:B21</f>
        <v>0</v>
      </c>
      <c r="B21" s="37"/>
      <c r="C21" s="1"/>
      <c r="D21" s="1"/>
      <c r="E21" s="1"/>
      <c r="F21" s="1"/>
      <c r="G21" s="1"/>
      <c r="H21" s="6"/>
      <c r="I21" s="6"/>
      <c r="J21" s="6"/>
      <c r="K21" s="6"/>
      <c r="L21" s="6"/>
      <c r="M21" s="6"/>
      <c r="N21" s="3">
        <f t="shared" si="0"/>
        <v>0</v>
      </c>
      <c r="O21" t="str">
        <f t="shared" si="1"/>
        <v>methu</v>
      </c>
      <c r="P21">
        <f t="shared" si="2"/>
        <v>0</v>
      </c>
    </row>
    <row r="22" spans="1:16" x14ac:dyDescent="0.25">
      <c r="A22" s="36">
        <f>'CRYNODEB DISGYBL'!A22:B22</f>
        <v>0</v>
      </c>
      <c r="B22" s="37"/>
      <c r="C22" s="1"/>
      <c r="D22" s="1"/>
      <c r="E22" s="1"/>
      <c r="F22" s="1"/>
      <c r="G22" s="1"/>
      <c r="H22" s="6"/>
      <c r="I22" s="6"/>
      <c r="J22" s="6"/>
      <c r="K22" s="6"/>
      <c r="L22" s="6"/>
      <c r="M22" s="6"/>
      <c r="N22" s="3">
        <f>SUM(I22+K22+M22)</f>
        <v>0</v>
      </c>
      <c r="O22" t="str">
        <f t="shared" si="1"/>
        <v>methu</v>
      </c>
      <c r="P22">
        <f t="shared" si="2"/>
        <v>0</v>
      </c>
    </row>
    <row r="23" spans="1:16" x14ac:dyDescent="0.25">
      <c r="A23" s="36">
        <f>'CRYNODEB DISGYBL'!A23:B23</f>
        <v>0</v>
      </c>
      <c r="B23" s="37"/>
      <c r="C23" s="1"/>
      <c r="D23" s="1"/>
      <c r="E23" s="1"/>
      <c r="F23" s="1"/>
      <c r="G23" s="1"/>
      <c r="H23" s="6"/>
      <c r="I23" s="6"/>
      <c r="J23" s="6"/>
      <c r="K23" s="6"/>
      <c r="L23" s="6"/>
      <c r="M23" s="6"/>
      <c r="N23" s="3">
        <f t="shared" si="0"/>
        <v>0</v>
      </c>
      <c r="O23" t="str">
        <f t="shared" si="1"/>
        <v>methu</v>
      </c>
      <c r="P23">
        <f t="shared" si="2"/>
        <v>0</v>
      </c>
    </row>
    <row r="24" spans="1:16" x14ac:dyDescent="0.25">
      <c r="A24" s="36">
        <f>'CRYNODEB DISGYBL'!A24:B24</f>
        <v>0</v>
      </c>
      <c r="B24" s="37"/>
      <c r="C24" s="1"/>
      <c r="D24" s="1"/>
      <c r="E24" s="1"/>
      <c r="F24" s="1"/>
      <c r="G24" s="1"/>
      <c r="H24" s="6"/>
      <c r="I24" s="6"/>
      <c r="J24" s="6"/>
      <c r="K24" s="6"/>
      <c r="L24" s="6"/>
      <c r="M24" s="6"/>
      <c r="N24" s="3">
        <f t="shared" si="0"/>
        <v>0</v>
      </c>
      <c r="O24" t="str">
        <f t="shared" si="1"/>
        <v>methu</v>
      </c>
      <c r="P24">
        <f t="shared" si="2"/>
        <v>0</v>
      </c>
    </row>
    <row r="25" spans="1:16" x14ac:dyDescent="0.25">
      <c r="A25" s="36">
        <f>'CRYNODEB DISGYBL'!A25:B25</f>
        <v>0</v>
      </c>
      <c r="B25" s="37"/>
      <c r="C25" s="1"/>
      <c r="D25" s="1"/>
      <c r="E25" s="1"/>
      <c r="F25" s="1"/>
      <c r="G25" s="1"/>
      <c r="H25" s="6"/>
      <c r="I25" s="6"/>
      <c r="J25" s="6"/>
      <c r="K25" s="6"/>
      <c r="L25" s="6"/>
      <c r="M25" s="6"/>
      <c r="N25" s="3">
        <f t="shared" si="0"/>
        <v>0</v>
      </c>
      <c r="O25" t="str">
        <f t="shared" si="1"/>
        <v>methu</v>
      </c>
      <c r="P25">
        <f t="shared" si="2"/>
        <v>0</v>
      </c>
    </row>
    <row r="26" spans="1:16" x14ac:dyDescent="0.25">
      <c r="A26" s="36">
        <f>'CRYNODEB DISGYBL'!A26:B26</f>
        <v>0</v>
      </c>
      <c r="B26" s="37"/>
      <c r="C26" s="1"/>
      <c r="D26" s="1"/>
      <c r="E26" s="1"/>
      <c r="F26" s="1"/>
      <c r="G26" s="1"/>
      <c r="H26" s="6"/>
      <c r="I26" s="6"/>
      <c r="J26" s="6"/>
      <c r="K26" s="6"/>
      <c r="L26" s="6"/>
      <c r="M26" s="6"/>
      <c r="N26" s="3">
        <f t="shared" si="0"/>
        <v>0</v>
      </c>
      <c r="O26" t="str">
        <f t="shared" si="1"/>
        <v>methu</v>
      </c>
      <c r="P26">
        <f t="shared" si="2"/>
        <v>0</v>
      </c>
    </row>
    <row r="27" spans="1:16" x14ac:dyDescent="0.25">
      <c r="A27" s="36">
        <f>'CRYNODEB DISGYBL'!A27:B27</f>
        <v>0</v>
      </c>
      <c r="B27" s="37"/>
      <c r="C27" s="1"/>
      <c r="D27" s="1"/>
      <c r="E27" s="1"/>
      <c r="F27" s="1"/>
      <c r="G27" s="1"/>
      <c r="H27" s="6"/>
      <c r="I27" s="6"/>
      <c r="J27" s="6"/>
      <c r="K27" s="6"/>
      <c r="L27" s="6"/>
      <c r="M27" s="6"/>
      <c r="N27" s="3">
        <f t="shared" si="0"/>
        <v>0</v>
      </c>
      <c r="O27" t="str">
        <f t="shared" si="1"/>
        <v>methu</v>
      </c>
      <c r="P27">
        <f t="shared" si="2"/>
        <v>0</v>
      </c>
    </row>
    <row r="28" spans="1:16" x14ac:dyDescent="0.25">
      <c r="A28" s="36">
        <f>'CRYNODEB DISGYBL'!A28:B28</f>
        <v>0</v>
      </c>
      <c r="B28" s="37"/>
      <c r="C28" s="1"/>
      <c r="D28" s="1"/>
      <c r="E28" s="1"/>
      <c r="F28" s="1"/>
      <c r="G28" s="1"/>
      <c r="H28" s="6"/>
      <c r="I28" s="6"/>
      <c r="J28" s="6"/>
      <c r="K28" s="6"/>
      <c r="L28" s="6"/>
      <c r="M28" s="6"/>
      <c r="N28" s="3">
        <f t="shared" si="0"/>
        <v>0</v>
      </c>
      <c r="O28" t="str">
        <f t="shared" si="1"/>
        <v>methu</v>
      </c>
      <c r="P28">
        <f t="shared" si="2"/>
        <v>0</v>
      </c>
    </row>
    <row r="29" spans="1:16" x14ac:dyDescent="0.25">
      <c r="A29" s="36">
        <f>'CRYNODEB DISGYBL'!A29:B29</f>
        <v>0</v>
      </c>
      <c r="B29" s="37"/>
      <c r="C29" s="1"/>
      <c r="D29" s="1"/>
      <c r="E29" s="1"/>
      <c r="F29" s="1"/>
      <c r="G29" s="1"/>
      <c r="H29" s="6"/>
      <c r="I29" s="6"/>
      <c r="J29" s="6"/>
      <c r="K29" s="6"/>
      <c r="L29" s="6"/>
      <c r="M29" s="6"/>
      <c r="N29" s="3">
        <f t="shared" si="0"/>
        <v>0</v>
      </c>
      <c r="O29" t="str">
        <f t="shared" si="1"/>
        <v>methu</v>
      </c>
      <c r="P29">
        <f t="shared" si="2"/>
        <v>0</v>
      </c>
    </row>
    <row r="30" spans="1:16" x14ac:dyDescent="0.25">
      <c r="A30" s="36">
        <f>'CRYNODEB DISGYBL'!A30:B30</f>
        <v>0</v>
      </c>
      <c r="B30" s="37"/>
      <c r="C30" s="1"/>
      <c r="D30" s="1"/>
      <c r="E30" s="1"/>
      <c r="F30" s="1"/>
      <c r="G30" s="1"/>
      <c r="H30" s="6"/>
      <c r="I30" s="6"/>
      <c r="J30" s="6"/>
      <c r="K30" s="6"/>
      <c r="L30" s="6"/>
      <c r="M30" s="6"/>
      <c r="N30" s="3">
        <f t="shared" si="0"/>
        <v>0</v>
      </c>
      <c r="O30" t="str">
        <f t="shared" si="1"/>
        <v>methu</v>
      </c>
      <c r="P30">
        <f t="shared" si="2"/>
        <v>0</v>
      </c>
    </row>
  </sheetData>
  <mergeCells count="33">
    <mergeCell ref="H2:I2"/>
    <mergeCell ref="L2:M2"/>
    <mergeCell ref="J2:K2"/>
    <mergeCell ref="C2:G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conditionalFormatting sqref="C4:C30">
    <cfRule type="containsText" dxfId="53" priority="9" operator="containsText" text="N">
      <formula>NOT(ISERROR(SEARCH("N",C4)))</formula>
    </cfRule>
    <cfRule type="containsText" dxfId="52" priority="10" operator="containsText" text="Y">
      <formula>NOT(ISERROR(SEARCH("Y",C4)))</formula>
    </cfRule>
  </conditionalFormatting>
  <conditionalFormatting sqref="G4:G30">
    <cfRule type="containsText" dxfId="51" priority="1" operator="containsText" text="N">
      <formula>NOT(ISERROR(SEARCH("N",G4)))</formula>
    </cfRule>
    <cfRule type="containsText" dxfId="50" priority="2" operator="containsText" text="Y">
      <formula>NOT(ISERROR(SEARCH("Y",G4)))</formula>
    </cfRule>
  </conditionalFormatting>
  <conditionalFormatting sqref="D4:D30">
    <cfRule type="containsText" dxfId="49" priority="7" operator="containsText" text="N">
      <formula>NOT(ISERROR(SEARCH("N",D4)))</formula>
    </cfRule>
    <cfRule type="containsText" dxfId="48" priority="8" operator="containsText" text="Y">
      <formula>NOT(ISERROR(SEARCH("Y",D4)))</formula>
    </cfRule>
  </conditionalFormatting>
  <conditionalFormatting sqref="E4:E30">
    <cfRule type="containsText" dxfId="47" priority="5" operator="containsText" text="N">
      <formula>NOT(ISERROR(SEARCH("N",E4)))</formula>
    </cfRule>
    <cfRule type="containsText" dxfId="46" priority="6" operator="containsText" text="Y">
      <formula>NOT(ISERROR(SEARCH("Y",E4)))</formula>
    </cfRule>
  </conditionalFormatting>
  <conditionalFormatting sqref="F4:F30">
    <cfRule type="containsText" dxfId="45" priority="3" operator="containsText" text="N">
      <formula>NOT(ISERROR(SEARCH("N",F4)))</formula>
    </cfRule>
    <cfRule type="containsText" dxfId="44" priority="4" operator="containsText" text="Y">
      <formula>NOT(ISERROR(SEARCH("Y",F4)))</formula>
    </cfRule>
  </conditionalFormatting>
  <dataValidations count="2">
    <dataValidation type="list" allowBlank="1" showInputMessage="1" showErrorMessage="1" sqref="H4:H30 J4:J30 L4:L30">
      <formula1>Band</formula1>
    </dataValidation>
    <dataValidation type="list" allowBlank="1" showInputMessage="1" showErrorMessage="1" sqref="I4:I30 K4:K30 M4:M30">
      <formula1>Mark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selection activeCell="P4" sqref="P4:P8"/>
    </sheetView>
  </sheetViews>
  <sheetFormatPr defaultColWidth="8.85546875" defaultRowHeight="15" x14ac:dyDescent="0.25"/>
  <cols>
    <col min="1" max="1" width="11.7109375" customWidth="1"/>
    <col min="2" max="2" width="14.140625" customWidth="1"/>
    <col min="3" max="3" width="15" customWidth="1"/>
    <col min="4" max="4" width="17.7109375" customWidth="1"/>
    <col min="5" max="5" width="15" customWidth="1"/>
    <col min="6" max="6" width="0" hidden="1" customWidth="1"/>
    <col min="8" max="8" width="0" hidden="1" customWidth="1"/>
    <col min="10" max="10" width="0" hidden="1" customWidth="1"/>
    <col min="12" max="12" width="10.85546875" customWidth="1"/>
    <col min="13" max="13" width="12.85546875" customWidth="1"/>
    <col min="14" max="16" width="9.140625" customWidth="1"/>
  </cols>
  <sheetData>
    <row r="1" spans="1:29" ht="18.75" x14ac:dyDescent="0.3">
      <c r="A1" s="7" t="s">
        <v>58</v>
      </c>
    </row>
    <row r="2" spans="1:29" ht="15.75" x14ac:dyDescent="0.25">
      <c r="A2" s="43" t="s">
        <v>42</v>
      </c>
      <c r="B2" s="43"/>
      <c r="C2" s="44" t="s">
        <v>43</v>
      </c>
      <c r="D2" s="44"/>
      <c r="E2" s="44"/>
      <c r="F2" s="41" t="s">
        <v>44</v>
      </c>
      <c r="G2" s="41"/>
      <c r="H2" s="41" t="s">
        <v>45</v>
      </c>
      <c r="I2" s="41"/>
      <c r="J2" s="41" t="s">
        <v>46</v>
      </c>
      <c r="K2" s="41"/>
      <c r="L2" s="8"/>
    </row>
    <row r="3" spans="1:29" ht="65.25" customHeight="1" x14ac:dyDescent="0.25">
      <c r="A3" s="38" t="s">
        <v>47</v>
      </c>
      <c r="B3" s="39"/>
      <c r="C3" s="12" t="s">
        <v>48</v>
      </c>
      <c r="D3" s="12" t="s">
        <v>49</v>
      </c>
      <c r="E3" s="12" t="s">
        <v>50</v>
      </c>
      <c r="F3" s="20" t="s">
        <v>1</v>
      </c>
      <c r="G3" s="20" t="s">
        <v>51</v>
      </c>
      <c r="H3" s="20" t="s">
        <v>1</v>
      </c>
      <c r="I3" s="20" t="s">
        <v>51</v>
      </c>
      <c r="J3" s="20" t="s">
        <v>1</v>
      </c>
      <c r="K3" s="20" t="s">
        <v>51</v>
      </c>
      <c r="L3" s="15" t="s">
        <v>52</v>
      </c>
      <c r="AA3" t="s">
        <v>1</v>
      </c>
      <c r="AC3" t="s">
        <v>2</v>
      </c>
    </row>
    <row r="4" spans="1:29" x14ac:dyDescent="0.25">
      <c r="A4" s="36" t="str">
        <f>'CRYNODEB DISGYBL'!A4:B4</f>
        <v>Poppy</v>
      </c>
      <c r="B4" s="37"/>
      <c r="C4" s="5" t="s">
        <v>6</v>
      </c>
      <c r="D4" s="5" t="s">
        <v>6</v>
      </c>
      <c r="E4" s="5" t="s">
        <v>6</v>
      </c>
      <c r="F4" s="6">
        <v>2</v>
      </c>
      <c r="G4" s="6">
        <v>12</v>
      </c>
      <c r="H4" s="6">
        <v>3</v>
      </c>
      <c r="I4" s="6">
        <v>12</v>
      </c>
      <c r="J4" s="6">
        <v>4</v>
      </c>
      <c r="K4" s="6">
        <v>12</v>
      </c>
      <c r="L4" s="3">
        <f>SUM(G4+I4+K4)</f>
        <v>36</v>
      </c>
      <c r="M4" t="str">
        <f>LOOKUP(L4,$O$4:$P$8)</f>
        <v>Rhagoriaeth</v>
      </c>
      <c r="N4">
        <f>IF(L4&gt;=5,1,0)</f>
        <v>1</v>
      </c>
      <c r="O4">
        <v>0</v>
      </c>
      <c r="P4" t="s">
        <v>53</v>
      </c>
      <c r="AA4">
        <v>1</v>
      </c>
      <c r="AC4">
        <v>1</v>
      </c>
    </row>
    <row r="5" spans="1:29" x14ac:dyDescent="0.25">
      <c r="A5" s="36" t="str">
        <f>'CRYNODEB DISGYBL'!A5:B5</f>
        <v>Harold</v>
      </c>
      <c r="B5" s="37"/>
      <c r="C5" s="5" t="s">
        <v>6</v>
      </c>
      <c r="D5" s="5" t="s">
        <v>6</v>
      </c>
      <c r="E5" s="5" t="s">
        <v>6</v>
      </c>
      <c r="F5" s="6"/>
      <c r="G5" s="6">
        <v>8</v>
      </c>
      <c r="H5" s="6"/>
      <c r="I5" s="6">
        <v>9</v>
      </c>
      <c r="J5" s="6"/>
      <c r="K5" s="6">
        <v>5</v>
      </c>
      <c r="L5" s="3">
        <f t="shared" ref="L5:L30" si="0">SUM(G5+I5+K5)</f>
        <v>22</v>
      </c>
      <c r="M5" t="str">
        <f t="shared" ref="M5:M30" si="1">LOOKUP(L5,$O$4:$P$8)</f>
        <v>Teilyngdod</v>
      </c>
      <c r="N5">
        <f t="shared" ref="N5:N30" si="2">IF(L5&gt;=5,1,0)</f>
        <v>1</v>
      </c>
      <c r="O5">
        <v>5</v>
      </c>
      <c r="P5" t="s">
        <v>54</v>
      </c>
      <c r="AA5">
        <v>2</v>
      </c>
      <c r="AC5">
        <v>2</v>
      </c>
    </row>
    <row r="6" spans="1:29" x14ac:dyDescent="0.25">
      <c r="A6" s="36" t="str">
        <f>'CRYNODEB DISGYBL'!A6:B6</f>
        <v>Jon</v>
      </c>
      <c r="B6" s="37"/>
      <c r="C6" s="5" t="s">
        <v>6</v>
      </c>
      <c r="D6" s="5" t="s">
        <v>6</v>
      </c>
      <c r="E6" s="5" t="s">
        <v>6</v>
      </c>
      <c r="F6" s="6"/>
      <c r="G6" s="6">
        <v>8</v>
      </c>
      <c r="H6" s="6"/>
      <c r="I6" s="6">
        <v>3</v>
      </c>
      <c r="J6" s="6"/>
      <c r="K6" s="6">
        <v>6</v>
      </c>
      <c r="L6" s="3">
        <f t="shared" si="0"/>
        <v>17</v>
      </c>
      <c r="M6" t="str">
        <f t="shared" si="1"/>
        <v>Llwyddo L2</v>
      </c>
      <c r="N6">
        <f t="shared" si="2"/>
        <v>1</v>
      </c>
      <c r="O6">
        <v>15</v>
      </c>
      <c r="P6" t="s">
        <v>55</v>
      </c>
      <c r="AA6">
        <v>3</v>
      </c>
      <c r="AC6">
        <v>3</v>
      </c>
    </row>
    <row r="7" spans="1:29" x14ac:dyDescent="0.25">
      <c r="A7" s="36" t="str">
        <f>'CRYNODEB DISGYBL'!A7:B7</f>
        <v>Gwyn</v>
      </c>
      <c r="B7" s="37"/>
      <c r="C7" s="5" t="s">
        <v>6</v>
      </c>
      <c r="D7" s="5" t="s">
        <v>6</v>
      </c>
      <c r="E7" s="5" t="s">
        <v>6</v>
      </c>
      <c r="F7" s="6"/>
      <c r="G7" s="6">
        <v>2</v>
      </c>
      <c r="H7" s="6"/>
      <c r="I7" s="6">
        <v>3</v>
      </c>
      <c r="J7" s="6"/>
      <c r="K7" s="6">
        <v>4</v>
      </c>
      <c r="L7" s="3">
        <f t="shared" si="0"/>
        <v>9</v>
      </c>
      <c r="M7" t="str">
        <f t="shared" si="1"/>
        <v>llwyddo L1</v>
      </c>
      <c r="N7">
        <f t="shared" si="2"/>
        <v>1</v>
      </c>
      <c r="O7">
        <v>22</v>
      </c>
      <c r="P7" t="s">
        <v>56</v>
      </c>
      <c r="AA7">
        <v>4</v>
      </c>
      <c r="AC7">
        <v>4</v>
      </c>
    </row>
    <row r="8" spans="1:29" x14ac:dyDescent="0.25">
      <c r="A8" s="36" t="str">
        <f>'CRYNODEB DISGYBL'!A8:B8</f>
        <v>Arwen</v>
      </c>
      <c r="B8" s="37"/>
      <c r="C8" s="5" t="s">
        <v>6</v>
      </c>
      <c r="D8" s="5" t="s">
        <v>6</v>
      </c>
      <c r="E8" s="5" t="s">
        <v>6</v>
      </c>
      <c r="F8" s="6"/>
      <c r="G8" s="6">
        <v>6</v>
      </c>
      <c r="H8" s="6"/>
      <c r="I8" s="6">
        <v>7</v>
      </c>
      <c r="J8" s="6"/>
      <c r="K8" s="6">
        <v>10</v>
      </c>
      <c r="L8" s="3">
        <f t="shared" si="0"/>
        <v>23</v>
      </c>
      <c r="M8" t="str">
        <f t="shared" si="1"/>
        <v>Teilyngdod</v>
      </c>
      <c r="N8">
        <f t="shared" si="2"/>
        <v>1</v>
      </c>
      <c r="O8">
        <v>28</v>
      </c>
      <c r="P8" t="s">
        <v>57</v>
      </c>
      <c r="AC8">
        <v>5</v>
      </c>
    </row>
    <row r="9" spans="1:29" x14ac:dyDescent="0.25">
      <c r="A9" s="36" t="str">
        <f>'CRYNODEB DISGYBL'!A9:B9</f>
        <v>Sian</v>
      </c>
      <c r="B9" s="37"/>
      <c r="C9" s="5" t="s">
        <v>6</v>
      </c>
      <c r="D9" s="5" t="s">
        <v>6</v>
      </c>
      <c r="E9" s="5" t="s">
        <v>6</v>
      </c>
      <c r="F9" s="6"/>
      <c r="G9" s="6">
        <v>1</v>
      </c>
      <c r="H9" s="6"/>
      <c r="I9" s="6">
        <v>9</v>
      </c>
      <c r="J9" s="6"/>
      <c r="K9" s="6">
        <v>12</v>
      </c>
      <c r="L9" s="3">
        <f t="shared" si="0"/>
        <v>22</v>
      </c>
      <c r="M9" t="str">
        <f t="shared" si="1"/>
        <v>Teilyngdod</v>
      </c>
      <c r="N9">
        <f t="shared" si="2"/>
        <v>1</v>
      </c>
      <c r="AC9">
        <v>6</v>
      </c>
    </row>
    <row r="10" spans="1:29" x14ac:dyDescent="0.25">
      <c r="A10" s="36" t="str">
        <f>'CRYNODEB DISGYBL'!A10:B10</f>
        <v>George</v>
      </c>
      <c r="B10" s="37"/>
      <c r="C10" s="5" t="s">
        <v>6</v>
      </c>
      <c r="D10" s="5" t="s">
        <v>6</v>
      </c>
      <c r="E10" s="5" t="s">
        <v>6</v>
      </c>
      <c r="F10" s="6"/>
      <c r="G10" s="6">
        <v>12</v>
      </c>
      <c r="H10" s="6"/>
      <c r="I10" s="6">
        <v>11</v>
      </c>
      <c r="J10" s="6"/>
      <c r="K10" s="6">
        <v>12</v>
      </c>
      <c r="L10" s="3">
        <f t="shared" si="0"/>
        <v>35</v>
      </c>
      <c r="M10" t="str">
        <f t="shared" si="1"/>
        <v>Rhagoriaeth</v>
      </c>
      <c r="N10">
        <f t="shared" si="2"/>
        <v>1</v>
      </c>
      <c r="AC10">
        <v>7</v>
      </c>
    </row>
    <row r="11" spans="1:29" x14ac:dyDescent="0.25">
      <c r="A11" s="36" t="str">
        <f>'CRYNODEB DISGYBL'!A11:B11</f>
        <v>Genna</v>
      </c>
      <c r="B11" s="37"/>
      <c r="C11" s="5" t="s">
        <v>6</v>
      </c>
      <c r="D11" s="5" t="s">
        <v>6</v>
      </c>
      <c r="E11" s="5" t="s">
        <v>6</v>
      </c>
      <c r="F11" s="6"/>
      <c r="G11" s="6">
        <v>11</v>
      </c>
      <c r="H11" s="6"/>
      <c r="I11" s="6">
        <v>2</v>
      </c>
      <c r="J11" s="6"/>
      <c r="K11" s="6">
        <v>5</v>
      </c>
      <c r="L11" s="3">
        <f t="shared" si="0"/>
        <v>18</v>
      </c>
      <c r="M11" t="str">
        <f t="shared" si="1"/>
        <v>Llwyddo L2</v>
      </c>
      <c r="N11">
        <f t="shared" si="2"/>
        <v>1</v>
      </c>
      <c r="AC11">
        <v>8</v>
      </c>
    </row>
    <row r="12" spans="1:29" x14ac:dyDescent="0.25">
      <c r="A12" s="36" t="str">
        <f>'CRYNODEB DISGYBL'!A12:B12</f>
        <v>Rachel</v>
      </c>
      <c r="B12" s="37"/>
      <c r="C12" s="5" t="s">
        <v>6</v>
      </c>
      <c r="D12" s="5" t="s">
        <v>6</v>
      </c>
      <c r="E12" s="5" t="s">
        <v>6</v>
      </c>
      <c r="F12" s="6"/>
      <c r="G12" s="6">
        <v>8</v>
      </c>
      <c r="H12" s="6"/>
      <c r="I12" s="6">
        <v>12</v>
      </c>
      <c r="J12" s="6"/>
      <c r="K12" s="6">
        <v>5</v>
      </c>
      <c r="L12" s="3">
        <f t="shared" si="0"/>
        <v>25</v>
      </c>
      <c r="M12" t="str">
        <f t="shared" si="1"/>
        <v>Teilyngdod</v>
      </c>
      <c r="N12">
        <f t="shared" si="2"/>
        <v>1</v>
      </c>
      <c r="AC12">
        <v>9</v>
      </c>
    </row>
    <row r="13" spans="1:29" x14ac:dyDescent="0.25">
      <c r="A13" s="36" t="str">
        <f>'CRYNODEB DISGYBL'!A13:B13</f>
        <v>Liam</v>
      </c>
      <c r="B13" s="37"/>
      <c r="C13" s="5" t="s">
        <v>6</v>
      </c>
      <c r="D13" s="5" t="s">
        <v>6</v>
      </c>
      <c r="E13" s="5" t="s">
        <v>6</v>
      </c>
      <c r="F13" s="6"/>
      <c r="G13" s="6">
        <v>8</v>
      </c>
      <c r="H13" s="6"/>
      <c r="I13" s="6">
        <v>6</v>
      </c>
      <c r="J13" s="6"/>
      <c r="K13" s="6">
        <v>6</v>
      </c>
      <c r="L13" s="3">
        <f t="shared" si="0"/>
        <v>20</v>
      </c>
      <c r="M13" t="str">
        <f t="shared" si="1"/>
        <v>Llwyddo L2</v>
      </c>
      <c r="N13">
        <f t="shared" si="2"/>
        <v>1</v>
      </c>
      <c r="AC13">
        <v>10</v>
      </c>
    </row>
    <row r="14" spans="1:29" x14ac:dyDescent="0.25">
      <c r="A14" s="36" t="str">
        <f>'CRYNODEB DISGYBL'!A14:B14</f>
        <v>Casey</v>
      </c>
      <c r="B14" s="37"/>
      <c r="C14" s="5" t="s">
        <v>6</v>
      </c>
      <c r="D14" s="5" t="s">
        <v>6</v>
      </c>
      <c r="E14" s="5" t="s">
        <v>6</v>
      </c>
      <c r="F14" s="6"/>
      <c r="G14" s="6">
        <v>8</v>
      </c>
      <c r="H14" s="6"/>
      <c r="I14" s="6">
        <v>6</v>
      </c>
      <c r="J14" s="6"/>
      <c r="K14" s="6">
        <v>2</v>
      </c>
      <c r="L14" s="3">
        <f t="shared" si="0"/>
        <v>16</v>
      </c>
      <c r="M14" t="str">
        <f t="shared" si="1"/>
        <v>Llwyddo L2</v>
      </c>
      <c r="N14">
        <f t="shared" si="2"/>
        <v>1</v>
      </c>
      <c r="AC14">
        <v>11</v>
      </c>
    </row>
    <row r="15" spans="1:29" x14ac:dyDescent="0.25">
      <c r="A15" s="36" t="str">
        <f>'CRYNODEB DISGYBL'!A15:B15</f>
        <v>Kai</v>
      </c>
      <c r="B15" s="37"/>
      <c r="C15" s="5" t="s">
        <v>6</v>
      </c>
      <c r="D15" s="5" t="s">
        <v>6</v>
      </c>
      <c r="E15" s="5" t="s">
        <v>6</v>
      </c>
      <c r="F15" s="6"/>
      <c r="G15" s="6">
        <v>8</v>
      </c>
      <c r="H15" s="6"/>
      <c r="I15" s="6">
        <v>5</v>
      </c>
      <c r="J15" s="6"/>
      <c r="K15" s="6">
        <v>1</v>
      </c>
      <c r="L15" s="3">
        <f t="shared" si="0"/>
        <v>14</v>
      </c>
      <c r="M15" t="str">
        <f t="shared" si="1"/>
        <v>llwyddo L1</v>
      </c>
      <c r="N15">
        <f t="shared" si="2"/>
        <v>1</v>
      </c>
      <c r="AC15">
        <v>12</v>
      </c>
    </row>
    <row r="16" spans="1:29" x14ac:dyDescent="0.25">
      <c r="A16" s="36" t="str">
        <f>'CRYNODEB DISGYBL'!A16:B16</f>
        <v>Ethan</v>
      </c>
      <c r="B16" s="37"/>
      <c r="C16" s="5" t="s">
        <v>6</v>
      </c>
      <c r="D16" s="5" t="s">
        <v>6</v>
      </c>
      <c r="E16" s="5" t="s">
        <v>6</v>
      </c>
      <c r="F16" s="6"/>
      <c r="G16" s="6">
        <v>8</v>
      </c>
      <c r="H16" s="6"/>
      <c r="I16" s="6">
        <v>9</v>
      </c>
      <c r="J16" s="6"/>
      <c r="K16" s="6">
        <v>12</v>
      </c>
      <c r="L16" s="3">
        <f t="shared" si="0"/>
        <v>29</v>
      </c>
      <c r="M16" t="str">
        <f t="shared" si="1"/>
        <v>Rhagoriaeth</v>
      </c>
      <c r="N16">
        <f t="shared" si="2"/>
        <v>1</v>
      </c>
    </row>
    <row r="17" spans="1:14" x14ac:dyDescent="0.25">
      <c r="A17" s="36" t="str">
        <f>'CRYNODEB DISGYBL'!A17:B17</f>
        <v>Lou</v>
      </c>
      <c r="B17" s="37"/>
      <c r="C17" s="5" t="s">
        <v>6</v>
      </c>
      <c r="D17" s="5" t="s">
        <v>6</v>
      </c>
      <c r="E17" s="5" t="s">
        <v>6</v>
      </c>
      <c r="F17" s="6"/>
      <c r="G17" s="6">
        <v>3</v>
      </c>
      <c r="H17" s="6"/>
      <c r="I17" s="6">
        <v>2</v>
      </c>
      <c r="J17" s="6"/>
      <c r="K17" s="6">
        <v>1</v>
      </c>
      <c r="L17" s="3">
        <f t="shared" si="0"/>
        <v>6</v>
      </c>
      <c r="M17" t="str">
        <f t="shared" si="1"/>
        <v>llwyddo L1</v>
      </c>
      <c r="N17">
        <f t="shared" si="2"/>
        <v>1</v>
      </c>
    </row>
    <row r="18" spans="1:14" x14ac:dyDescent="0.25">
      <c r="A18" s="36" t="str">
        <f>'CRYNODEB DISGYBL'!A18:B18</f>
        <v>David</v>
      </c>
      <c r="B18" s="37"/>
      <c r="C18" s="5" t="s">
        <v>6</v>
      </c>
      <c r="D18" s="5" t="s">
        <v>6</v>
      </c>
      <c r="E18" s="5" t="s">
        <v>6</v>
      </c>
      <c r="F18" s="6"/>
      <c r="G18" s="6">
        <v>6</v>
      </c>
      <c r="H18" s="6"/>
      <c r="I18" s="6">
        <v>7</v>
      </c>
      <c r="J18" s="6"/>
      <c r="K18" s="6">
        <v>6</v>
      </c>
      <c r="L18" s="3">
        <f t="shared" si="0"/>
        <v>19</v>
      </c>
      <c r="M18" t="str">
        <f t="shared" si="1"/>
        <v>Llwyddo L2</v>
      </c>
      <c r="N18">
        <f t="shared" si="2"/>
        <v>1</v>
      </c>
    </row>
    <row r="19" spans="1:14" x14ac:dyDescent="0.25">
      <c r="A19" s="36">
        <f>'CRYNODEB DISGYBL'!A19:B19</f>
        <v>0</v>
      </c>
      <c r="B19" s="37"/>
      <c r="C19" s="5"/>
      <c r="D19" s="5"/>
      <c r="E19" s="5"/>
      <c r="F19" s="6"/>
      <c r="G19" s="6"/>
      <c r="H19" s="6"/>
      <c r="I19" s="6"/>
      <c r="J19" s="6"/>
      <c r="K19" s="6"/>
      <c r="L19" s="3">
        <f t="shared" si="0"/>
        <v>0</v>
      </c>
      <c r="M19" t="str">
        <f t="shared" si="1"/>
        <v>methu</v>
      </c>
      <c r="N19">
        <f t="shared" si="2"/>
        <v>0</v>
      </c>
    </row>
    <row r="20" spans="1:14" x14ac:dyDescent="0.25">
      <c r="A20" s="36">
        <f>'CRYNODEB DISGYBL'!A20:B20</f>
        <v>0</v>
      </c>
      <c r="B20" s="37"/>
      <c r="C20" s="5"/>
      <c r="D20" s="5"/>
      <c r="E20" s="5"/>
      <c r="F20" s="6"/>
      <c r="G20" s="6"/>
      <c r="H20" s="6"/>
      <c r="I20" s="6"/>
      <c r="J20" s="6"/>
      <c r="K20" s="6"/>
      <c r="L20" s="3">
        <f t="shared" si="0"/>
        <v>0</v>
      </c>
      <c r="M20" t="str">
        <f t="shared" si="1"/>
        <v>methu</v>
      </c>
      <c r="N20">
        <f t="shared" si="2"/>
        <v>0</v>
      </c>
    </row>
    <row r="21" spans="1:14" x14ac:dyDescent="0.25">
      <c r="A21" s="36">
        <f>'CRYNODEB DISGYBL'!A21:B21</f>
        <v>0</v>
      </c>
      <c r="B21" s="37"/>
      <c r="C21" s="5"/>
      <c r="D21" s="5"/>
      <c r="E21" s="5"/>
      <c r="F21" s="6"/>
      <c r="G21" s="6"/>
      <c r="H21" s="6"/>
      <c r="I21" s="6"/>
      <c r="J21" s="6"/>
      <c r="K21" s="6"/>
      <c r="L21" s="3">
        <f t="shared" si="0"/>
        <v>0</v>
      </c>
      <c r="M21" t="str">
        <f t="shared" si="1"/>
        <v>methu</v>
      </c>
      <c r="N21">
        <f t="shared" si="2"/>
        <v>0</v>
      </c>
    </row>
    <row r="22" spans="1:14" x14ac:dyDescent="0.25">
      <c r="A22" s="36">
        <f>'CRYNODEB DISGYBL'!A22:B22</f>
        <v>0</v>
      </c>
      <c r="B22" s="37"/>
      <c r="C22" s="5"/>
      <c r="D22" s="5"/>
      <c r="E22" s="5"/>
      <c r="F22" s="6"/>
      <c r="G22" s="6"/>
      <c r="H22" s="6"/>
      <c r="I22" s="6"/>
      <c r="J22" s="6"/>
      <c r="K22" s="6"/>
      <c r="L22" s="3">
        <f>SUM(G22+I22+K22)</f>
        <v>0</v>
      </c>
      <c r="M22" t="str">
        <f t="shared" si="1"/>
        <v>methu</v>
      </c>
      <c r="N22">
        <f t="shared" si="2"/>
        <v>0</v>
      </c>
    </row>
    <row r="23" spans="1:14" x14ac:dyDescent="0.25">
      <c r="A23" s="36">
        <f>'CRYNODEB DISGYBL'!A23:B23</f>
        <v>0</v>
      </c>
      <c r="B23" s="37"/>
      <c r="C23" s="5"/>
      <c r="D23" s="5"/>
      <c r="E23" s="5"/>
      <c r="F23" s="6"/>
      <c r="G23" s="6"/>
      <c r="H23" s="6"/>
      <c r="I23" s="6"/>
      <c r="J23" s="6"/>
      <c r="K23" s="6"/>
      <c r="L23" s="3">
        <f t="shared" si="0"/>
        <v>0</v>
      </c>
      <c r="M23" t="str">
        <f t="shared" si="1"/>
        <v>methu</v>
      </c>
      <c r="N23">
        <f t="shared" si="2"/>
        <v>0</v>
      </c>
    </row>
    <row r="24" spans="1:14" x14ac:dyDescent="0.25">
      <c r="A24" s="36">
        <f>'CRYNODEB DISGYBL'!A24:B24</f>
        <v>0</v>
      </c>
      <c r="B24" s="37"/>
      <c r="C24" s="5"/>
      <c r="D24" s="5"/>
      <c r="E24" s="5"/>
      <c r="F24" s="6"/>
      <c r="G24" s="6"/>
      <c r="H24" s="6"/>
      <c r="I24" s="6"/>
      <c r="J24" s="6"/>
      <c r="K24" s="6"/>
      <c r="L24" s="3">
        <f t="shared" si="0"/>
        <v>0</v>
      </c>
      <c r="M24" t="str">
        <f t="shared" si="1"/>
        <v>methu</v>
      </c>
      <c r="N24">
        <f t="shared" si="2"/>
        <v>0</v>
      </c>
    </row>
    <row r="25" spans="1:14" x14ac:dyDescent="0.25">
      <c r="A25" s="36">
        <f>'CRYNODEB DISGYBL'!A25:B25</f>
        <v>0</v>
      </c>
      <c r="B25" s="37"/>
      <c r="C25" s="5"/>
      <c r="D25" s="5"/>
      <c r="E25" s="5"/>
      <c r="F25" s="6"/>
      <c r="G25" s="6"/>
      <c r="H25" s="6"/>
      <c r="I25" s="6"/>
      <c r="J25" s="6"/>
      <c r="K25" s="6"/>
      <c r="L25" s="3">
        <f t="shared" si="0"/>
        <v>0</v>
      </c>
      <c r="M25" t="str">
        <f t="shared" si="1"/>
        <v>methu</v>
      </c>
      <c r="N25">
        <f t="shared" si="2"/>
        <v>0</v>
      </c>
    </row>
    <row r="26" spans="1:14" x14ac:dyDescent="0.25">
      <c r="A26" s="36">
        <f>'CRYNODEB DISGYBL'!A26:B26</f>
        <v>0</v>
      </c>
      <c r="B26" s="37"/>
      <c r="C26" s="5"/>
      <c r="D26" s="5"/>
      <c r="E26" s="5"/>
      <c r="F26" s="6"/>
      <c r="G26" s="6"/>
      <c r="H26" s="6"/>
      <c r="I26" s="6"/>
      <c r="J26" s="6"/>
      <c r="K26" s="6"/>
      <c r="L26" s="3">
        <f t="shared" si="0"/>
        <v>0</v>
      </c>
      <c r="M26" t="str">
        <f t="shared" si="1"/>
        <v>methu</v>
      </c>
      <c r="N26">
        <f t="shared" si="2"/>
        <v>0</v>
      </c>
    </row>
    <row r="27" spans="1:14" x14ac:dyDescent="0.25">
      <c r="A27" s="36">
        <f>'CRYNODEB DISGYBL'!A27:B27</f>
        <v>0</v>
      </c>
      <c r="B27" s="37"/>
      <c r="C27" s="5"/>
      <c r="D27" s="5"/>
      <c r="E27" s="5"/>
      <c r="F27" s="6"/>
      <c r="G27" s="6"/>
      <c r="H27" s="6"/>
      <c r="I27" s="6"/>
      <c r="J27" s="6"/>
      <c r="K27" s="6"/>
      <c r="L27" s="3">
        <f t="shared" si="0"/>
        <v>0</v>
      </c>
      <c r="M27" t="str">
        <f t="shared" si="1"/>
        <v>methu</v>
      </c>
      <c r="N27">
        <f t="shared" si="2"/>
        <v>0</v>
      </c>
    </row>
    <row r="28" spans="1:14" x14ac:dyDescent="0.25">
      <c r="A28" s="36">
        <f>'CRYNODEB DISGYBL'!A28:B28</f>
        <v>0</v>
      </c>
      <c r="B28" s="37"/>
      <c r="C28" s="5"/>
      <c r="D28" s="5"/>
      <c r="E28" s="5"/>
      <c r="F28" s="6"/>
      <c r="G28" s="6"/>
      <c r="H28" s="6"/>
      <c r="I28" s="6"/>
      <c r="J28" s="6"/>
      <c r="K28" s="6"/>
      <c r="L28" s="3">
        <f t="shared" si="0"/>
        <v>0</v>
      </c>
      <c r="M28" t="str">
        <f t="shared" si="1"/>
        <v>methu</v>
      </c>
      <c r="N28">
        <f t="shared" si="2"/>
        <v>0</v>
      </c>
    </row>
    <row r="29" spans="1:14" x14ac:dyDescent="0.25">
      <c r="A29" s="36">
        <f>'CRYNODEB DISGYBL'!A29:B29</f>
        <v>0</v>
      </c>
      <c r="B29" s="37"/>
      <c r="C29" s="5"/>
      <c r="D29" s="5"/>
      <c r="E29" s="5"/>
      <c r="F29" s="6"/>
      <c r="G29" s="6"/>
      <c r="H29" s="6"/>
      <c r="I29" s="6"/>
      <c r="J29" s="6"/>
      <c r="K29" s="6"/>
      <c r="L29" s="3">
        <f t="shared" si="0"/>
        <v>0</v>
      </c>
      <c r="M29" t="str">
        <f t="shared" si="1"/>
        <v>methu</v>
      </c>
      <c r="N29">
        <f t="shared" si="2"/>
        <v>0</v>
      </c>
    </row>
    <row r="30" spans="1:14" x14ac:dyDescent="0.25">
      <c r="A30" s="36">
        <f>'CRYNODEB DISGYBL'!A30:B30</f>
        <v>0</v>
      </c>
      <c r="B30" s="37"/>
      <c r="C30" s="5"/>
      <c r="D30" s="5"/>
      <c r="E30" s="5"/>
      <c r="F30" s="6"/>
      <c r="G30" s="6"/>
      <c r="H30" s="6"/>
      <c r="I30" s="6"/>
      <c r="J30" s="6"/>
      <c r="K30" s="6"/>
      <c r="L30" s="3">
        <f t="shared" si="0"/>
        <v>0</v>
      </c>
      <c r="M30" t="str">
        <f t="shared" si="1"/>
        <v>methu</v>
      </c>
      <c r="N30">
        <f t="shared" si="2"/>
        <v>0</v>
      </c>
    </row>
  </sheetData>
  <mergeCells count="33">
    <mergeCell ref="A2:B2"/>
    <mergeCell ref="C2:E2"/>
    <mergeCell ref="F2:G2"/>
    <mergeCell ref="H2:I2"/>
    <mergeCell ref="J2:K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conditionalFormatting sqref="C4:C30">
    <cfRule type="containsText" dxfId="43" priority="5" operator="containsText" text="N">
      <formula>NOT(ISERROR(SEARCH("N",C4)))</formula>
    </cfRule>
    <cfRule type="containsText" dxfId="42" priority="6" operator="containsText" text="Y">
      <formula>NOT(ISERROR(SEARCH("Y",C4)))</formula>
    </cfRule>
  </conditionalFormatting>
  <conditionalFormatting sqref="D4:D30">
    <cfRule type="containsText" dxfId="41" priority="3" operator="containsText" text="N">
      <formula>NOT(ISERROR(SEARCH("N",D4)))</formula>
    </cfRule>
    <cfRule type="containsText" dxfId="40" priority="4" operator="containsText" text="Y">
      <formula>NOT(ISERROR(SEARCH("Y",D4)))</formula>
    </cfRule>
  </conditionalFormatting>
  <conditionalFormatting sqref="E4:E30">
    <cfRule type="containsText" dxfId="39" priority="1" operator="containsText" text="N">
      <formula>NOT(ISERROR(SEARCH("N",E4)))</formula>
    </cfRule>
    <cfRule type="containsText" dxfId="38" priority="2" operator="containsText" text="Y">
      <formula>NOT(ISERROR(SEARCH("Y",E4)))</formula>
    </cfRule>
  </conditionalFormatting>
  <dataValidations count="2">
    <dataValidation type="list" allowBlank="1" showInputMessage="1" showErrorMessage="1" sqref="F4:F30 H4:H30 J4:J30">
      <formula1>Band</formula1>
    </dataValidation>
    <dataValidation type="list" allowBlank="1" showInputMessage="1" showErrorMessage="1" sqref="G4:G30 I4:I30 K4:K30">
      <formula1>Mark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R4" sqref="R4:R8"/>
    </sheetView>
  </sheetViews>
  <sheetFormatPr defaultColWidth="8.85546875" defaultRowHeight="15" x14ac:dyDescent="0.25"/>
  <cols>
    <col min="1" max="1" width="12.85546875" customWidth="1"/>
    <col min="2" max="2" width="16.140625" customWidth="1"/>
    <col min="3" max="3" width="17.42578125" customWidth="1"/>
    <col min="4" max="4" width="12.7109375" customWidth="1"/>
    <col min="5" max="5" width="14.42578125" customWidth="1"/>
    <col min="6" max="6" width="14" customWidth="1"/>
    <col min="7" max="7" width="0" hidden="1" customWidth="1"/>
    <col min="9" max="9" width="0" hidden="1" customWidth="1"/>
    <col min="11" max="11" width="0" hidden="1" customWidth="1"/>
    <col min="13" max="13" width="11.42578125" style="2" customWidth="1"/>
  </cols>
  <sheetData>
    <row r="1" spans="1:18" ht="18.75" x14ac:dyDescent="0.3">
      <c r="A1" s="7" t="s">
        <v>59</v>
      </c>
    </row>
    <row r="2" spans="1:18" ht="15.75" x14ac:dyDescent="0.25">
      <c r="A2" s="46" t="s">
        <v>42</v>
      </c>
      <c r="B2" s="47"/>
      <c r="C2" s="45" t="s">
        <v>43</v>
      </c>
      <c r="D2" s="45"/>
      <c r="E2" s="45"/>
      <c r="F2" s="45"/>
      <c r="G2" s="41" t="s">
        <v>64</v>
      </c>
      <c r="H2" s="41"/>
      <c r="I2" s="41" t="s">
        <v>45</v>
      </c>
      <c r="J2" s="41"/>
      <c r="K2" s="41" t="s">
        <v>46</v>
      </c>
      <c r="L2" s="41"/>
      <c r="M2" s="14"/>
    </row>
    <row r="3" spans="1:18" ht="64.5" customHeight="1" x14ac:dyDescent="0.25">
      <c r="A3" s="38" t="s">
        <v>60</v>
      </c>
      <c r="B3" s="39"/>
      <c r="C3" s="13" t="s">
        <v>61</v>
      </c>
      <c r="D3" s="13" t="s">
        <v>0</v>
      </c>
      <c r="E3" s="13" t="s">
        <v>50</v>
      </c>
      <c r="F3" s="13" t="s">
        <v>62</v>
      </c>
      <c r="G3" s="20" t="s">
        <v>1</v>
      </c>
      <c r="H3" s="20" t="s">
        <v>51</v>
      </c>
      <c r="I3" s="20" t="s">
        <v>1</v>
      </c>
      <c r="J3" s="20" t="s">
        <v>51</v>
      </c>
      <c r="K3" s="20" t="s">
        <v>1</v>
      </c>
      <c r="L3" s="20" t="s">
        <v>51</v>
      </c>
      <c r="M3" s="15" t="s">
        <v>63</v>
      </c>
    </row>
    <row r="4" spans="1:18" x14ac:dyDescent="0.25">
      <c r="A4" s="36" t="str">
        <f>'CRYNODEB DISGYBL'!A4:B4</f>
        <v>Poppy</v>
      </c>
      <c r="B4" s="37"/>
      <c r="C4" s="1" t="s">
        <v>6</v>
      </c>
      <c r="D4" s="1" t="s">
        <v>6</v>
      </c>
      <c r="E4" s="1" t="s">
        <v>6</v>
      </c>
      <c r="F4" s="1" t="s">
        <v>6</v>
      </c>
      <c r="G4" s="6">
        <v>1</v>
      </c>
      <c r="H4" s="6">
        <v>12</v>
      </c>
      <c r="I4" s="6">
        <v>1</v>
      </c>
      <c r="J4" s="6">
        <v>12</v>
      </c>
      <c r="K4" s="6">
        <v>1</v>
      </c>
      <c r="L4" s="6">
        <v>12</v>
      </c>
      <c r="M4" s="3">
        <f>SUM(H4+J4+L4)</f>
        <v>36</v>
      </c>
      <c r="N4" t="str">
        <f>LOOKUP(M4,$Q$4:$R$8)</f>
        <v>Rhagoriaeth</v>
      </c>
      <c r="O4">
        <f>IF(M4&gt;=5,1,0)</f>
        <v>1</v>
      </c>
      <c r="Q4">
        <v>0</v>
      </c>
      <c r="R4" t="s">
        <v>53</v>
      </c>
    </row>
    <row r="5" spans="1:18" x14ac:dyDescent="0.25">
      <c r="A5" s="36" t="str">
        <f>'CRYNODEB DISGYBL'!A5:B5</f>
        <v>Harold</v>
      </c>
      <c r="B5" s="37"/>
      <c r="C5" s="1" t="s">
        <v>6</v>
      </c>
      <c r="D5" s="1" t="s">
        <v>6</v>
      </c>
      <c r="E5" s="1" t="s">
        <v>6</v>
      </c>
      <c r="F5" s="1" t="s">
        <v>6</v>
      </c>
      <c r="G5" s="6"/>
      <c r="H5" s="6">
        <v>8</v>
      </c>
      <c r="I5" s="6"/>
      <c r="J5" s="6">
        <v>8</v>
      </c>
      <c r="K5" s="6"/>
      <c r="L5" s="6">
        <v>6</v>
      </c>
      <c r="M5" s="3">
        <f t="shared" ref="M5:M30" si="0">SUM(H5+J5+L5)</f>
        <v>22</v>
      </c>
      <c r="N5" t="str">
        <f t="shared" ref="N5:N30" si="1">LOOKUP(M5,$Q$4:$R$8)</f>
        <v>Teilyngdod</v>
      </c>
      <c r="O5">
        <f t="shared" ref="O5:O30" si="2">IF(M5&gt;=5,1,0)</f>
        <v>1</v>
      </c>
      <c r="Q5">
        <v>5</v>
      </c>
      <c r="R5" t="s">
        <v>54</v>
      </c>
    </row>
    <row r="6" spans="1:18" x14ac:dyDescent="0.25">
      <c r="A6" s="36" t="str">
        <f>'CRYNODEB DISGYBL'!A6:B6</f>
        <v>Jon</v>
      </c>
      <c r="B6" s="37"/>
      <c r="C6" s="1" t="s">
        <v>6</v>
      </c>
      <c r="D6" s="1" t="s">
        <v>6</v>
      </c>
      <c r="E6" s="1" t="s">
        <v>6</v>
      </c>
      <c r="F6" s="1" t="s">
        <v>6</v>
      </c>
      <c r="G6" s="6"/>
      <c r="H6" s="6">
        <v>7</v>
      </c>
      <c r="I6" s="6"/>
      <c r="J6" s="6">
        <v>2</v>
      </c>
      <c r="K6" s="6"/>
      <c r="L6" s="6">
        <v>10</v>
      </c>
      <c r="M6" s="3">
        <f t="shared" si="0"/>
        <v>19</v>
      </c>
      <c r="N6" t="str">
        <f t="shared" si="1"/>
        <v>Llwyddo L2</v>
      </c>
      <c r="O6">
        <f t="shared" si="2"/>
        <v>1</v>
      </c>
      <c r="Q6">
        <v>15</v>
      </c>
      <c r="R6" t="s">
        <v>55</v>
      </c>
    </row>
    <row r="7" spans="1:18" x14ac:dyDescent="0.25">
      <c r="A7" s="36" t="str">
        <f>'CRYNODEB DISGYBL'!A7:B7</f>
        <v>Gwyn</v>
      </c>
      <c r="B7" s="37"/>
      <c r="C7" s="1" t="s">
        <v>6</v>
      </c>
      <c r="D7" s="1" t="s">
        <v>6</v>
      </c>
      <c r="E7" s="1" t="s">
        <v>6</v>
      </c>
      <c r="F7" s="1" t="s">
        <v>6</v>
      </c>
      <c r="G7" s="6"/>
      <c r="H7" s="6">
        <v>1</v>
      </c>
      <c r="I7" s="6"/>
      <c r="J7" s="6">
        <v>2</v>
      </c>
      <c r="K7" s="6"/>
      <c r="L7" s="6">
        <v>3</v>
      </c>
      <c r="M7" s="34">
        <f t="shared" si="0"/>
        <v>6</v>
      </c>
      <c r="N7" t="str">
        <f t="shared" si="1"/>
        <v>llwyddo L1</v>
      </c>
      <c r="O7">
        <f t="shared" si="2"/>
        <v>1</v>
      </c>
      <c r="Q7">
        <v>22</v>
      </c>
      <c r="R7" t="s">
        <v>56</v>
      </c>
    </row>
    <row r="8" spans="1:18" x14ac:dyDescent="0.25">
      <c r="A8" s="36" t="str">
        <f>'CRYNODEB DISGYBL'!A8:B8</f>
        <v>Arwen</v>
      </c>
      <c r="B8" s="37"/>
      <c r="C8" s="1" t="s">
        <v>6</v>
      </c>
      <c r="D8" s="1" t="s">
        <v>6</v>
      </c>
      <c r="E8" s="1" t="s">
        <v>6</v>
      </c>
      <c r="F8" s="1" t="s">
        <v>6</v>
      </c>
      <c r="G8" s="6"/>
      <c r="H8" s="6">
        <v>11</v>
      </c>
      <c r="I8" s="6"/>
      <c r="J8" s="6">
        <v>12</v>
      </c>
      <c r="K8" s="6"/>
      <c r="L8" s="6">
        <v>3</v>
      </c>
      <c r="M8" s="3">
        <f t="shared" si="0"/>
        <v>26</v>
      </c>
      <c r="N8" t="str">
        <f t="shared" si="1"/>
        <v>Teilyngdod</v>
      </c>
      <c r="O8">
        <f t="shared" si="2"/>
        <v>1</v>
      </c>
      <c r="Q8">
        <v>28</v>
      </c>
      <c r="R8" t="s">
        <v>57</v>
      </c>
    </row>
    <row r="9" spans="1:18" x14ac:dyDescent="0.25">
      <c r="A9" s="36" t="str">
        <f>'CRYNODEB DISGYBL'!A9:B9</f>
        <v>Sian</v>
      </c>
      <c r="B9" s="37"/>
      <c r="C9" s="1" t="s">
        <v>6</v>
      </c>
      <c r="D9" s="1" t="s">
        <v>6</v>
      </c>
      <c r="E9" s="1" t="s">
        <v>6</v>
      </c>
      <c r="F9" s="1" t="s">
        <v>6</v>
      </c>
      <c r="G9" s="6"/>
      <c r="H9" s="6">
        <v>12</v>
      </c>
      <c r="I9" s="6"/>
      <c r="J9" s="6">
        <v>12</v>
      </c>
      <c r="K9" s="6"/>
      <c r="L9" s="6">
        <v>12</v>
      </c>
      <c r="M9" s="3">
        <f t="shared" si="0"/>
        <v>36</v>
      </c>
      <c r="N9" t="str">
        <f t="shared" si="1"/>
        <v>Rhagoriaeth</v>
      </c>
      <c r="O9">
        <f t="shared" si="2"/>
        <v>1</v>
      </c>
    </row>
    <row r="10" spans="1:18" x14ac:dyDescent="0.25">
      <c r="A10" s="36" t="str">
        <f>'CRYNODEB DISGYBL'!A10:B10</f>
        <v>George</v>
      </c>
      <c r="B10" s="37"/>
      <c r="C10" s="1" t="s">
        <v>6</v>
      </c>
      <c r="D10" s="1" t="s">
        <v>6</v>
      </c>
      <c r="E10" s="1" t="s">
        <v>6</v>
      </c>
      <c r="F10" s="1" t="s">
        <v>6</v>
      </c>
      <c r="G10" s="6"/>
      <c r="H10" s="6">
        <v>4</v>
      </c>
      <c r="I10" s="6"/>
      <c r="J10" s="6">
        <v>5</v>
      </c>
      <c r="K10" s="6"/>
      <c r="L10" s="6">
        <v>3</v>
      </c>
      <c r="M10" s="3">
        <f t="shared" si="0"/>
        <v>12</v>
      </c>
      <c r="N10" t="str">
        <f t="shared" si="1"/>
        <v>llwyddo L1</v>
      </c>
      <c r="O10">
        <f t="shared" si="2"/>
        <v>1</v>
      </c>
    </row>
    <row r="11" spans="1:18" x14ac:dyDescent="0.25">
      <c r="A11" s="36" t="str">
        <f>'CRYNODEB DISGYBL'!A11:B11</f>
        <v>Genna</v>
      </c>
      <c r="B11" s="37"/>
      <c r="C11" s="1" t="s">
        <v>6</v>
      </c>
      <c r="D11" s="1" t="s">
        <v>6</v>
      </c>
      <c r="E11" s="1" t="s">
        <v>6</v>
      </c>
      <c r="F11" s="1" t="s">
        <v>6</v>
      </c>
      <c r="G11" s="6"/>
      <c r="H11" s="6">
        <v>7</v>
      </c>
      <c r="I11" s="6"/>
      <c r="J11" s="6">
        <v>12</v>
      </c>
      <c r="K11" s="6"/>
      <c r="L11" s="6">
        <v>4</v>
      </c>
      <c r="M11" s="3">
        <f t="shared" si="0"/>
        <v>23</v>
      </c>
      <c r="N11" t="str">
        <f t="shared" si="1"/>
        <v>Teilyngdod</v>
      </c>
      <c r="O11">
        <f t="shared" si="2"/>
        <v>1</v>
      </c>
    </row>
    <row r="12" spans="1:18" x14ac:dyDescent="0.25">
      <c r="A12" s="36" t="str">
        <f>'CRYNODEB DISGYBL'!A12:B12</f>
        <v>Rachel</v>
      </c>
      <c r="B12" s="37"/>
      <c r="C12" s="1" t="s">
        <v>6</v>
      </c>
      <c r="D12" s="1" t="s">
        <v>6</v>
      </c>
      <c r="E12" s="1" t="s">
        <v>6</v>
      </c>
      <c r="F12" s="1" t="s">
        <v>6</v>
      </c>
      <c r="G12" s="6"/>
      <c r="H12" s="6">
        <v>8</v>
      </c>
      <c r="I12" s="6"/>
      <c r="J12" s="6">
        <v>3</v>
      </c>
      <c r="K12" s="6"/>
      <c r="L12" s="6">
        <v>2</v>
      </c>
      <c r="M12" s="3">
        <f t="shared" si="0"/>
        <v>13</v>
      </c>
      <c r="N12" t="str">
        <f t="shared" si="1"/>
        <v>llwyddo L1</v>
      </c>
      <c r="O12">
        <f t="shared" si="2"/>
        <v>1</v>
      </c>
    </row>
    <row r="13" spans="1:18" x14ac:dyDescent="0.25">
      <c r="A13" s="36" t="str">
        <f>'CRYNODEB DISGYBL'!A13:B13</f>
        <v>Liam</v>
      </c>
      <c r="B13" s="37"/>
      <c r="C13" s="1" t="s">
        <v>6</v>
      </c>
      <c r="D13" s="1" t="s">
        <v>6</v>
      </c>
      <c r="E13" s="1" t="s">
        <v>6</v>
      </c>
      <c r="F13" s="1" t="s">
        <v>6</v>
      </c>
      <c r="G13" s="6"/>
      <c r="H13" s="6">
        <v>9</v>
      </c>
      <c r="I13" s="6"/>
      <c r="J13" s="6">
        <v>1</v>
      </c>
      <c r="K13" s="6"/>
      <c r="L13" s="6">
        <v>12</v>
      </c>
      <c r="M13" s="3">
        <f t="shared" si="0"/>
        <v>22</v>
      </c>
      <c r="N13" t="str">
        <f t="shared" si="1"/>
        <v>Teilyngdod</v>
      </c>
      <c r="O13">
        <f t="shared" si="2"/>
        <v>1</v>
      </c>
    </row>
    <row r="14" spans="1:18" x14ac:dyDescent="0.25">
      <c r="A14" s="36" t="str">
        <f>'CRYNODEB DISGYBL'!A14:B14</f>
        <v>Casey</v>
      </c>
      <c r="B14" s="37"/>
      <c r="C14" s="1" t="s">
        <v>6</v>
      </c>
      <c r="D14" s="1" t="s">
        <v>6</v>
      </c>
      <c r="E14" s="1" t="s">
        <v>6</v>
      </c>
      <c r="F14" s="1" t="s">
        <v>6</v>
      </c>
      <c r="G14" s="6"/>
      <c r="H14" s="6">
        <v>4</v>
      </c>
      <c r="I14" s="6"/>
      <c r="J14" s="6">
        <v>1</v>
      </c>
      <c r="K14" s="6"/>
      <c r="L14" s="6">
        <v>3</v>
      </c>
      <c r="M14" s="3">
        <f t="shared" si="0"/>
        <v>8</v>
      </c>
      <c r="N14" t="str">
        <f t="shared" si="1"/>
        <v>llwyddo L1</v>
      </c>
      <c r="O14">
        <f t="shared" si="2"/>
        <v>1</v>
      </c>
    </row>
    <row r="15" spans="1:18" x14ac:dyDescent="0.25">
      <c r="A15" s="36" t="str">
        <f>'CRYNODEB DISGYBL'!A15:B15</f>
        <v>Kai</v>
      </c>
      <c r="B15" s="37"/>
      <c r="C15" s="1" t="s">
        <v>6</v>
      </c>
      <c r="D15" s="1" t="s">
        <v>6</v>
      </c>
      <c r="E15" s="1" t="s">
        <v>6</v>
      </c>
      <c r="F15" s="1" t="s">
        <v>6</v>
      </c>
      <c r="G15" s="6"/>
      <c r="H15" s="6">
        <v>3</v>
      </c>
      <c r="I15" s="6"/>
      <c r="J15" s="6">
        <v>2</v>
      </c>
      <c r="K15" s="6"/>
      <c r="L15" s="6">
        <v>5</v>
      </c>
      <c r="M15" s="3">
        <f t="shared" si="0"/>
        <v>10</v>
      </c>
      <c r="N15" t="str">
        <f t="shared" si="1"/>
        <v>llwyddo L1</v>
      </c>
      <c r="O15">
        <f t="shared" si="2"/>
        <v>1</v>
      </c>
    </row>
    <row r="16" spans="1:18" x14ac:dyDescent="0.25">
      <c r="A16" s="36" t="str">
        <f>'CRYNODEB DISGYBL'!A16:B16</f>
        <v>Ethan</v>
      </c>
      <c r="B16" s="37"/>
      <c r="C16" s="1" t="s">
        <v>6</v>
      </c>
      <c r="D16" s="1" t="s">
        <v>6</v>
      </c>
      <c r="E16" s="1" t="s">
        <v>6</v>
      </c>
      <c r="F16" s="1" t="s">
        <v>6</v>
      </c>
      <c r="G16" s="6"/>
      <c r="H16" s="6">
        <v>5</v>
      </c>
      <c r="I16" s="6"/>
      <c r="J16" s="6">
        <v>7</v>
      </c>
      <c r="K16" s="6"/>
      <c r="L16" s="6">
        <v>6</v>
      </c>
      <c r="M16" s="3">
        <f t="shared" si="0"/>
        <v>18</v>
      </c>
      <c r="N16" t="str">
        <f t="shared" si="1"/>
        <v>Llwyddo L2</v>
      </c>
      <c r="O16">
        <f t="shared" si="2"/>
        <v>1</v>
      </c>
    </row>
    <row r="17" spans="1:15" x14ac:dyDescent="0.25">
      <c r="A17" s="36" t="str">
        <f>'CRYNODEB DISGYBL'!A17:B17</f>
        <v>Lou</v>
      </c>
      <c r="B17" s="37"/>
      <c r="C17" s="1" t="s">
        <v>6</v>
      </c>
      <c r="D17" s="1" t="s">
        <v>6</v>
      </c>
      <c r="E17" s="1" t="s">
        <v>6</v>
      </c>
      <c r="F17" s="1" t="s">
        <v>6</v>
      </c>
      <c r="G17" s="6"/>
      <c r="H17" s="6">
        <v>1</v>
      </c>
      <c r="I17" s="6"/>
      <c r="J17" s="6">
        <v>9</v>
      </c>
      <c r="K17" s="6"/>
      <c r="L17" s="6">
        <v>7</v>
      </c>
      <c r="M17" s="3">
        <f t="shared" si="0"/>
        <v>17</v>
      </c>
      <c r="N17" t="str">
        <f t="shared" si="1"/>
        <v>Llwyddo L2</v>
      </c>
      <c r="O17">
        <f t="shared" si="2"/>
        <v>1</v>
      </c>
    </row>
    <row r="18" spans="1:15" x14ac:dyDescent="0.25">
      <c r="A18" s="36" t="str">
        <f>'CRYNODEB DISGYBL'!A18:B18</f>
        <v>David</v>
      </c>
      <c r="B18" s="37"/>
      <c r="C18" s="1" t="s">
        <v>6</v>
      </c>
      <c r="D18" s="1" t="s">
        <v>6</v>
      </c>
      <c r="E18" s="1" t="s">
        <v>6</v>
      </c>
      <c r="F18" s="1" t="s">
        <v>6</v>
      </c>
      <c r="G18" s="6"/>
      <c r="H18" s="6">
        <v>6</v>
      </c>
      <c r="I18" s="6"/>
      <c r="J18" s="6">
        <v>5</v>
      </c>
      <c r="K18" s="6"/>
      <c r="L18" s="6">
        <v>7</v>
      </c>
      <c r="M18" s="3">
        <f t="shared" si="0"/>
        <v>18</v>
      </c>
      <c r="N18" t="str">
        <f t="shared" si="1"/>
        <v>Llwyddo L2</v>
      </c>
      <c r="O18">
        <f t="shared" si="2"/>
        <v>1</v>
      </c>
    </row>
    <row r="19" spans="1:15" x14ac:dyDescent="0.25">
      <c r="A19" s="36">
        <f>'CRYNODEB DISGYBL'!A19:B19</f>
        <v>0</v>
      </c>
      <c r="B19" s="37"/>
      <c r="C19" s="1"/>
      <c r="D19" s="1"/>
      <c r="E19" s="1"/>
      <c r="F19" s="1"/>
      <c r="G19" s="6"/>
      <c r="H19" s="6"/>
      <c r="I19" s="6"/>
      <c r="J19" s="6"/>
      <c r="K19" s="6"/>
      <c r="L19" s="6"/>
      <c r="M19" s="3">
        <f t="shared" si="0"/>
        <v>0</v>
      </c>
      <c r="N19" t="str">
        <f t="shared" si="1"/>
        <v>methu</v>
      </c>
      <c r="O19">
        <f t="shared" si="2"/>
        <v>0</v>
      </c>
    </row>
    <row r="20" spans="1:15" x14ac:dyDescent="0.25">
      <c r="A20" s="36">
        <f>'CRYNODEB DISGYBL'!A20:B20</f>
        <v>0</v>
      </c>
      <c r="B20" s="37"/>
      <c r="C20" s="1"/>
      <c r="D20" s="1"/>
      <c r="E20" s="1"/>
      <c r="F20" s="1"/>
      <c r="G20" s="6"/>
      <c r="H20" s="6"/>
      <c r="I20" s="6"/>
      <c r="J20" s="6"/>
      <c r="K20" s="6"/>
      <c r="L20" s="6"/>
      <c r="M20" s="3">
        <f t="shared" si="0"/>
        <v>0</v>
      </c>
      <c r="N20" t="str">
        <f t="shared" si="1"/>
        <v>methu</v>
      </c>
      <c r="O20">
        <f t="shared" si="2"/>
        <v>0</v>
      </c>
    </row>
    <row r="21" spans="1:15" x14ac:dyDescent="0.25">
      <c r="A21" s="36">
        <f>'CRYNODEB DISGYBL'!A21:B21</f>
        <v>0</v>
      </c>
      <c r="B21" s="37"/>
      <c r="C21" s="1"/>
      <c r="D21" s="1"/>
      <c r="E21" s="1"/>
      <c r="F21" s="1"/>
      <c r="G21" s="6"/>
      <c r="H21" s="6"/>
      <c r="I21" s="6"/>
      <c r="J21" s="6"/>
      <c r="K21" s="6"/>
      <c r="L21" s="6"/>
      <c r="M21" s="3">
        <f t="shared" si="0"/>
        <v>0</v>
      </c>
      <c r="N21" t="str">
        <f t="shared" si="1"/>
        <v>methu</v>
      </c>
      <c r="O21">
        <f t="shared" si="2"/>
        <v>0</v>
      </c>
    </row>
    <row r="22" spans="1:15" x14ac:dyDescent="0.25">
      <c r="A22" s="36">
        <f>'CRYNODEB DISGYBL'!A22:B22</f>
        <v>0</v>
      </c>
      <c r="B22" s="37"/>
      <c r="C22" s="1"/>
      <c r="D22" s="1"/>
      <c r="E22" s="1"/>
      <c r="F22" s="1"/>
      <c r="G22" s="6"/>
      <c r="H22" s="6"/>
      <c r="I22" s="6"/>
      <c r="J22" s="6"/>
      <c r="K22" s="6"/>
      <c r="L22" s="6"/>
      <c r="M22" s="3">
        <f>SUM(H22+J22+L22)</f>
        <v>0</v>
      </c>
      <c r="N22" t="str">
        <f t="shared" si="1"/>
        <v>methu</v>
      </c>
      <c r="O22">
        <f t="shared" si="2"/>
        <v>0</v>
      </c>
    </row>
    <row r="23" spans="1:15" x14ac:dyDescent="0.25">
      <c r="A23" s="36">
        <f>'CRYNODEB DISGYBL'!A23:B23</f>
        <v>0</v>
      </c>
      <c r="B23" s="37"/>
      <c r="C23" s="1"/>
      <c r="D23" s="1"/>
      <c r="E23" s="1"/>
      <c r="F23" s="1"/>
      <c r="G23" s="6"/>
      <c r="H23" s="6"/>
      <c r="I23" s="6"/>
      <c r="J23" s="6"/>
      <c r="K23" s="6"/>
      <c r="L23" s="6"/>
      <c r="M23" s="3">
        <f t="shared" si="0"/>
        <v>0</v>
      </c>
      <c r="N23" t="str">
        <f t="shared" si="1"/>
        <v>methu</v>
      </c>
      <c r="O23">
        <f t="shared" si="2"/>
        <v>0</v>
      </c>
    </row>
    <row r="24" spans="1:15" x14ac:dyDescent="0.25">
      <c r="A24" s="36">
        <f>'CRYNODEB DISGYBL'!A24:B24</f>
        <v>0</v>
      </c>
      <c r="B24" s="37"/>
      <c r="C24" s="1"/>
      <c r="D24" s="1"/>
      <c r="E24" s="1"/>
      <c r="F24" s="1"/>
      <c r="G24" s="6"/>
      <c r="H24" s="6"/>
      <c r="I24" s="6"/>
      <c r="J24" s="6"/>
      <c r="K24" s="6"/>
      <c r="L24" s="6"/>
      <c r="M24" s="3">
        <f t="shared" si="0"/>
        <v>0</v>
      </c>
      <c r="N24" t="str">
        <f t="shared" si="1"/>
        <v>methu</v>
      </c>
      <c r="O24">
        <f t="shared" si="2"/>
        <v>0</v>
      </c>
    </row>
    <row r="25" spans="1:15" x14ac:dyDescent="0.25">
      <c r="A25" s="36">
        <f>'CRYNODEB DISGYBL'!A25:B25</f>
        <v>0</v>
      </c>
      <c r="B25" s="37"/>
      <c r="C25" s="1"/>
      <c r="D25" s="1"/>
      <c r="E25" s="1"/>
      <c r="F25" s="1"/>
      <c r="G25" s="6"/>
      <c r="H25" s="6"/>
      <c r="I25" s="6"/>
      <c r="J25" s="6"/>
      <c r="K25" s="6"/>
      <c r="L25" s="6"/>
      <c r="M25" s="3">
        <f t="shared" si="0"/>
        <v>0</v>
      </c>
      <c r="N25" t="str">
        <f t="shared" si="1"/>
        <v>methu</v>
      </c>
      <c r="O25">
        <f t="shared" si="2"/>
        <v>0</v>
      </c>
    </row>
    <row r="26" spans="1:15" x14ac:dyDescent="0.25">
      <c r="A26" s="36">
        <f>'CRYNODEB DISGYBL'!A26:B26</f>
        <v>0</v>
      </c>
      <c r="B26" s="37"/>
      <c r="C26" s="1"/>
      <c r="D26" s="1"/>
      <c r="E26" s="1"/>
      <c r="F26" s="1"/>
      <c r="G26" s="6"/>
      <c r="H26" s="6"/>
      <c r="I26" s="6"/>
      <c r="J26" s="6"/>
      <c r="K26" s="6"/>
      <c r="L26" s="6"/>
      <c r="M26" s="3">
        <f t="shared" si="0"/>
        <v>0</v>
      </c>
      <c r="N26" t="str">
        <f t="shared" si="1"/>
        <v>methu</v>
      </c>
      <c r="O26">
        <f t="shared" si="2"/>
        <v>0</v>
      </c>
    </row>
    <row r="27" spans="1:15" x14ac:dyDescent="0.25">
      <c r="A27" s="36">
        <f>'CRYNODEB DISGYBL'!A27:B27</f>
        <v>0</v>
      </c>
      <c r="B27" s="37"/>
      <c r="C27" s="1"/>
      <c r="D27" s="1"/>
      <c r="E27" s="1"/>
      <c r="F27" s="1"/>
      <c r="G27" s="6"/>
      <c r="H27" s="6"/>
      <c r="I27" s="6"/>
      <c r="J27" s="6"/>
      <c r="K27" s="6"/>
      <c r="L27" s="6"/>
      <c r="M27" s="3">
        <f t="shared" si="0"/>
        <v>0</v>
      </c>
      <c r="N27" t="str">
        <f t="shared" si="1"/>
        <v>methu</v>
      </c>
      <c r="O27">
        <f t="shared" si="2"/>
        <v>0</v>
      </c>
    </row>
    <row r="28" spans="1:15" x14ac:dyDescent="0.25">
      <c r="A28" s="36">
        <f>'CRYNODEB DISGYBL'!A28:B28</f>
        <v>0</v>
      </c>
      <c r="B28" s="37"/>
      <c r="C28" s="1"/>
      <c r="D28" s="1"/>
      <c r="E28" s="1"/>
      <c r="F28" s="1"/>
      <c r="G28" s="6"/>
      <c r="H28" s="6"/>
      <c r="I28" s="6"/>
      <c r="J28" s="6"/>
      <c r="K28" s="6"/>
      <c r="L28" s="6"/>
      <c r="M28" s="3">
        <f t="shared" si="0"/>
        <v>0</v>
      </c>
      <c r="N28" t="str">
        <f t="shared" si="1"/>
        <v>methu</v>
      </c>
      <c r="O28">
        <f t="shared" si="2"/>
        <v>0</v>
      </c>
    </row>
    <row r="29" spans="1:15" x14ac:dyDescent="0.25">
      <c r="A29" s="36">
        <f>'CRYNODEB DISGYBL'!A29:B29</f>
        <v>0</v>
      </c>
      <c r="B29" s="37"/>
      <c r="C29" s="1"/>
      <c r="D29" s="1"/>
      <c r="E29" s="1"/>
      <c r="F29" s="1"/>
      <c r="G29" s="6"/>
      <c r="H29" s="6"/>
      <c r="I29" s="6"/>
      <c r="J29" s="6"/>
      <c r="K29" s="6"/>
      <c r="L29" s="6"/>
      <c r="M29" s="3">
        <f t="shared" si="0"/>
        <v>0</v>
      </c>
      <c r="N29" t="str">
        <f t="shared" si="1"/>
        <v>methu</v>
      </c>
      <c r="O29">
        <f t="shared" si="2"/>
        <v>0</v>
      </c>
    </row>
    <row r="30" spans="1:15" x14ac:dyDescent="0.25">
      <c r="A30" s="36">
        <f>'CRYNODEB DISGYBL'!A30:B30</f>
        <v>0</v>
      </c>
      <c r="B30" s="37"/>
      <c r="C30" s="1"/>
      <c r="D30" s="1"/>
      <c r="E30" s="1"/>
      <c r="F30" s="1"/>
      <c r="G30" s="6"/>
      <c r="H30" s="6"/>
      <c r="I30" s="6"/>
      <c r="J30" s="6"/>
      <c r="K30" s="6"/>
      <c r="L30" s="6"/>
      <c r="M30" s="3">
        <f t="shared" si="0"/>
        <v>0</v>
      </c>
      <c r="N30" t="str">
        <f t="shared" si="1"/>
        <v>methu</v>
      </c>
      <c r="O30">
        <f t="shared" si="2"/>
        <v>0</v>
      </c>
    </row>
  </sheetData>
  <mergeCells count="33">
    <mergeCell ref="C2:F2"/>
    <mergeCell ref="G2:H2"/>
    <mergeCell ref="I2:J2"/>
    <mergeCell ref="K2:L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conditionalFormatting sqref="C4:F30">
    <cfRule type="containsText" dxfId="37" priority="1" operator="containsText" text="N">
      <formula>NOT(ISERROR(SEARCH("N",C4)))</formula>
    </cfRule>
    <cfRule type="containsText" dxfId="36" priority="2" operator="containsText" text="Y">
      <formula>NOT(ISERROR(SEARCH("Y",C4)))</formula>
    </cfRule>
  </conditionalFormatting>
  <dataValidations count="2">
    <dataValidation type="list" allowBlank="1" showInputMessage="1" showErrorMessage="1" sqref="G4:G30 I4:I30 K4:K30">
      <formula1>Band</formula1>
    </dataValidation>
    <dataValidation type="list" allowBlank="1" showInputMessage="1" showErrorMessage="1" sqref="H4:H30 J4:J30 L4:L30">
      <formula1>Mark</formula1>
    </dataValidation>
  </dataValidation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F1" workbookViewId="0">
      <selection activeCell="AA3" sqref="AA3"/>
    </sheetView>
  </sheetViews>
  <sheetFormatPr defaultColWidth="8.85546875" defaultRowHeight="15" x14ac:dyDescent="0.25"/>
  <cols>
    <col min="1" max="1" width="10.7109375" customWidth="1"/>
    <col min="2" max="2" width="13.28515625" customWidth="1"/>
    <col min="3" max="10" width="13.85546875" customWidth="1"/>
    <col min="11" max="11" width="0" hidden="1" customWidth="1"/>
    <col min="13" max="13" width="0" hidden="1" customWidth="1"/>
    <col min="15" max="15" width="0" hidden="1" customWidth="1"/>
    <col min="17" max="17" width="0" hidden="1" customWidth="1"/>
    <col min="19" max="19" width="0" hidden="1" customWidth="1"/>
    <col min="21" max="21" width="0" hidden="1" customWidth="1"/>
    <col min="23" max="23" width="0" hidden="1" customWidth="1"/>
    <col min="25" max="25" width="0" hidden="1" customWidth="1"/>
  </cols>
  <sheetData>
    <row r="1" spans="1:31" ht="18.75" x14ac:dyDescent="0.3">
      <c r="A1" s="7" t="s">
        <v>72</v>
      </c>
      <c r="I1" s="7"/>
    </row>
    <row r="2" spans="1:31" ht="13.5" customHeight="1" x14ac:dyDescent="0.25">
      <c r="A2" s="46" t="s">
        <v>42</v>
      </c>
      <c r="B2" s="47"/>
      <c r="C2" s="48" t="s">
        <v>73</v>
      </c>
      <c r="D2" s="48"/>
      <c r="E2" s="48"/>
      <c r="F2" s="48"/>
      <c r="G2" s="48"/>
      <c r="H2" s="48"/>
      <c r="I2" s="48"/>
      <c r="J2" s="48"/>
      <c r="K2" s="40" t="s">
        <v>44</v>
      </c>
      <c r="L2" s="41"/>
      <c r="M2" s="40" t="s">
        <v>45</v>
      </c>
      <c r="N2" s="40"/>
      <c r="O2" s="40" t="s">
        <v>46</v>
      </c>
      <c r="P2" s="41"/>
      <c r="Q2" s="40" t="s">
        <v>82</v>
      </c>
      <c r="R2" s="41"/>
      <c r="S2" s="40" t="s">
        <v>83</v>
      </c>
      <c r="T2" s="40"/>
      <c r="U2" s="40" t="s">
        <v>84</v>
      </c>
      <c r="V2" s="41"/>
      <c r="W2" s="40" t="s">
        <v>85</v>
      </c>
      <c r="X2" s="40"/>
      <c r="Y2" s="40" t="s">
        <v>86</v>
      </c>
      <c r="Z2" s="41"/>
      <c r="AA2" s="8"/>
    </row>
    <row r="3" spans="1:31" ht="113.25" customHeight="1" x14ac:dyDescent="0.25">
      <c r="A3" s="38" t="s">
        <v>47</v>
      </c>
      <c r="B3" s="39"/>
      <c r="C3" s="10" t="s">
        <v>74</v>
      </c>
      <c r="D3" s="10" t="s">
        <v>75</v>
      </c>
      <c r="E3" s="10" t="s">
        <v>76</v>
      </c>
      <c r="F3" s="10" t="s">
        <v>77</v>
      </c>
      <c r="G3" s="10" t="s">
        <v>78</v>
      </c>
      <c r="H3" s="10" t="s">
        <v>79</v>
      </c>
      <c r="I3" s="10" t="s">
        <v>80</v>
      </c>
      <c r="J3" s="10" t="s">
        <v>81</v>
      </c>
      <c r="K3" s="16" t="s">
        <v>1</v>
      </c>
      <c r="L3" s="16" t="s">
        <v>71</v>
      </c>
      <c r="M3" s="16" t="s">
        <v>1</v>
      </c>
      <c r="N3" s="16" t="s">
        <v>51</v>
      </c>
      <c r="O3" s="16" t="s">
        <v>1</v>
      </c>
      <c r="P3" s="16" t="s">
        <v>51</v>
      </c>
      <c r="Q3" s="16" t="s">
        <v>1</v>
      </c>
      <c r="R3" s="16" t="s">
        <v>51</v>
      </c>
      <c r="S3" s="16" t="s">
        <v>1</v>
      </c>
      <c r="T3" s="16" t="s">
        <v>51</v>
      </c>
      <c r="U3" s="16" t="s">
        <v>1</v>
      </c>
      <c r="V3" s="16" t="s">
        <v>71</v>
      </c>
      <c r="W3" s="16" t="s">
        <v>1</v>
      </c>
      <c r="X3" s="16" t="s">
        <v>51</v>
      </c>
      <c r="Y3" s="16" t="s">
        <v>1</v>
      </c>
      <c r="Z3" s="16" t="s">
        <v>51</v>
      </c>
      <c r="AA3" s="17" t="s">
        <v>87</v>
      </c>
      <c r="AD3">
        <v>0</v>
      </c>
      <c r="AE3" t="s">
        <v>53</v>
      </c>
    </row>
    <row r="4" spans="1:31" x14ac:dyDescent="0.25">
      <c r="A4" s="36" t="str">
        <f>'CRYNODEB DISGYBL'!A4:B4</f>
        <v>Poppy</v>
      </c>
      <c r="B4" s="37"/>
      <c r="C4" s="1" t="s">
        <v>6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6">
        <v>2</v>
      </c>
      <c r="L4" s="6">
        <v>12</v>
      </c>
      <c r="M4" s="6">
        <v>3</v>
      </c>
      <c r="N4" s="6">
        <v>12</v>
      </c>
      <c r="O4" s="6">
        <v>3</v>
      </c>
      <c r="P4" s="6">
        <v>12</v>
      </c>
      <c r="Q4" s="6">
        <v>4</v>
      </c>
      <c r="R4" s="6">
        <v>12</v>
      </c>
      <c r="S4" s="6">
        <v>3</v>
      </c>
      <c r="T4" s="6">
        <v>12</v>
      </c>
      <c r="U4" s="6">
        <v>4</v>
      </c>
      <c r="V4" s="6">
        <v>12</v>
      </c>
      <c r="W4" s="6">
        <v>3</v>
      </c>
      <c r="X4" s="6">
        <v>12</v>
      </c>
      <c r="Y4" s="6">
        <v>4</v>
      </c>
      <c r="Z4" s="6">
        <v>12</v>
      </c>
      <c r="AA4" s="1">
        <f t="shared" ref="AA4:AA30" si="0">SUM(L4+N4+P4+R4+T4+V4+X4+Z4)</f>
        <v>96</v>
      </c>
      <c r="AB4" t="str">
        <f>LOOKUP(AA4,$AD$3:$AE$7)</f>
        <v>Rhagoriaeth</v>
      </c>
      <c r="AC4">
        <f>IF(AA4&gt;=20,1,0)</f>
        <v>1</v>
      </c>
      <c r="AD4">
        <v>20</v>
      </c>
      <c r="AE4" t="s">
        <v>54</v>
      </c>
    </row>
    <row r="5" spans="1:31" x14ac:dyDescent="0.25">
      <c r="A5" s="36" t="str">
        <f>'CRYNODEB DISGYBL'!A5:B5</f>
        <v>Harold</v>
      </c>
      <c r="B5" s="37"/>
      <c r="C5" s="1" t="s">
        <v>6</v>
      </c>
      <c r="D5" s="1" t="s">
        <v>6</v>
      </c>
      <c r="E5" s="1" t="s">
        <v>6</v>
      </c>
      <c r="F5" s="1" t="s">
        <v>6</v>
      </c>
      <c r="G5" s="1" t="s">
        <v>6</v>
      </c>
      <c r="H5" s="1" t="s">
        <v>6</v>
      </c>
      <c r="I5" s="1" t="s">
        <v>6</v>
      </c>
      <c r="J5" s="1" t="s">
        <v>6</v>
      </c>
      <c r="K5" s="6"/>
      <c r="L5" s="6">
        <v>10</v>
      </c>
      <c r="M5" s="6"/>
      <c r="N5" s="6">
        <v>10</v>
      </c>
      <c r="O5" s="6"/>
      <c r="P5" s="6">
        <v>10</v>
      </c>
      <c r="Q5" s="6"/>
      <c r="R5" s="6">
        <v>10</v>
      </c>
      <c r="S5" s="6"/>
      <c r="T5" s="6">
        <v>10</v>
      </c>
      <c r="U5" s="6"/>
      <c r="V5" s="6">
        <v>4</v>
      </c>
      <c r="W5" s="6"/>
      <c r="X5" s="6">
        <v>2</v>
      </c>
      <c r="Y5" s="6"/>
      <c r="Z5" s="6">
        <v>2</v>
      </c>
      <c r="AA5" s="1">
        <f t="shared" si="0"/>
        <v>58</v>
      </c>
      <c r="AB5" t="str">
        <f t="shared" ref="AB5:AB30" si="1">LOOKUP(AA5,$AD$3:$AE$7)</f>
        <v>Teilyngdod</v>
      </c>
      <c r="AC5">
        <f t="shared" ref="AC5:AC30" si="2">IF(AA5&gt;=20,1,0)</f>
        <v>1</v>
      </c>
      <c r="AD5">
        <v>40</v>
      </c>
      <c r="AE5" t="s">
        <v>55</v>
      </c>
    </row>
    <row r="6" spans="1:31" x14ac:dyDescent="0.25">
      <c r="A6" s="36" t="str">
        <f>'CRYNODEB DISGYBL'!A6:B6</f>
        <v>Jon</v>
      </c>
      <c r="B6" s="37"/>
      <c r="C6" s="1" t="s">
        <v>6</v>
      </c>
      <c r="D6" s="1" t="s">
        <v>6</v>
      </c>
      <c r="E6" s="1" t="s">
        <v>6</v>
      </c>
      <c r="F6" s="1" t="s">
        <v>6</v>
      </c>
      <c r="G6" s="1" t="s">
        <v>6</v>
      </c>
      <c r="H6" s="1" t="s">
        <v>6</v>
      </c>
      <c r="I6" s="1" t="s">
        <v>6</v>
      </c>
      <c r="J6" s="1" t="s">
        <v>6</v>
      </c>
      <c r="K6" s="6"/>
      <c r="L6" s="6">
        <v>5</v>
      </c>
      <c r="M6" s="6"/>
      <c r="N6" s="6">
        <v>5</v>
      </c>
      <c r="O6" s="6"/>
      <c r="P6" s="6">
        <v>5</v>
      </c>
      <c r="Q6" s="6"/>
      <c r="R6" s="6">
        <v>5</v>
      </c>
      <c r="S6" s="6"/>
      <c r="T6" s="6">
        <v>5</v>
      </c>
      <c r="U6" s="6"/>
      <c r="V6" s="6">
        <v>5</v>
      </c>
      <c r="W6" s="6"/>
      <c r="X6" s="6">
        <v>5</v>
      </c>
      <c r="Y6" s="6"/>
      <c r="Z6" s="6">
        <v>5</v>
      </c>
      <c r="AA6" s="1">
        <f t="shared" si="0"/>
        <v>40</v>
      </c>
      <c r="AB6" t="str">
        <f t="shared" si="1"/>
        <v>Llwyddo L2</v>
      </c>
      <c r="AC6">
        <f t="shared" si="2"/>
        <v>1</v>
      </c>
      <c r="AD6">
        <v>56</v>
      </c>
      <c r="AE6" t="s">
        <v>56</v>
      </c>
    </row>
    <row r="7" spans="1:31" x14ac:dyDescent="0.25">
      <c r="A7" s="36" t="str">
        <f>'CRYNODEB DISGYBL'!A7:B7</f>
        <v>Gwyn</v>
      </c>
      <c r="B7" s="37"/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1" t="s">
        <v>6</v>
      </c>
      <c r="J7" s="1" t="s">
        <v>6</v>
      </c>
      <c r="K7" s="6"/>
      <c r="L7" s="6">
        <v>3</v>
      </c>
      <c r="M7" s="6"/>
      <c r="N7" s="6">
        <v>2</v>
      </c>
      <c r="O7" s="6"/>
      <c r="P7" s="6">
        <v>2</v>
      </c>
      <c r="Q7" s="6"/>
      <c r="R7" s="6">
        <v>3</v>
      </c>
      <c r="S7" s="6"/>
      <c r="T7" s="6">
        <v>2</v>
      </c>
      <c r="U7" s="6"/>
      <c r="V7" s="6">
        <v>3</v>
      </c>
      <c r="W7" s="6"/>
      <c r="X7" s="6">
        <v>2</v>
      </c>
      <c r="Y7" s="6"/>
      <c r="Z7" s="6">
        <v>3</v>
      </c>
      <c r="AA7" s="1">
        <f t="shared" si="0"/>
        <v>20</v>
      </c>
      <c r="AB7" t="str">
        <f t="shared" si="1"/>
        <v>llwyddo L1</v>
      </c>
      <c r="AC7">
        <f t="shared" si="2"/>
        <v>1</v>
      </c>
      <c r="AD7">
        <v>76</v>
      </c>
      <c r="AE7" t="s">
        <v>57</v>
      </c>
    </row>
    <row r="8" spans="1:31" x14ac:dyDescent="0.25">
      <c r="A8" s="36" t="str">
        <f>'CRYNODEB DISGYBL'!A8:B8</f>
        <v>Arwen</v>
      </c>
      <c r="B8" s="37"/>
      <c r="C8" s="1" t="s">
        <v>6</v>
      </c>
      <c r="D8" s="1" t="s">
        <v>6</v>
      </c>
      <c r="E8" s="1" t="s">
        <v>6</v>
      </c>
      <c r="F8" s="1" t="s">
        <v>6</v>
      </c>
      <c r="G8" s="1" t="s">
        <v>6</v>
      </c>
      <c r="H8" s="1" t="s">
        <v>6</v>
      </c>
      <c r="I8" s="1" t="s">
        <v>6</v>
      </c>
      <c r="J8" s="1" t="s">
        <v>6</v>
      </c>
      <c r="K8" s="6"/>
      <c r="L8" s="6">
        <v>2</v>
      </c>
      <c r="M8" s="6"/>
      <c r="N8" s="6">
        <v>4</v>
      </c>
      <c r="O8" s="6"/>
      <c r="P8" s="6">
        <v>6</v>
      </c>
      <c r="Q8" s="6"/>
      <c r="R8" s="6">
        <v>7</v>
      </c>
      <c r="S8" s="6"/>
      <c r="T8" s="6">
        <v>4</v>
      </c>
      <c r="U8" s="6"/>
      <c r="V8" s="6">
        <v>10</v>
      </c>
      <c r="W8" s="6"/>
      <c r="X8" s="6">
        <v>6</v>
      </c>
      <c r="Y8" s="6"/>
      <c r="Z8" s="6">
        <v>4</v>
      </c>
      <c r="AA8" s="1">
        <f t="shared" si="0"/>
        <v>43</v>
      </c>
      <c r="AB8" t="str">
        <f t="shared" si="1"/>
        <v>Llwyddo L2</v>
      </c>
      <c r="AC8">
        <f t="shared" si="2"/>
        <v>1</v>
      </c>
    </row>
    <row r="9" spans="1:31" x14ac:dyDescent="0.25">
      <c r="A9" s="36" t="str">
        <f>'CRYNODEB DISGYBL'!A9:B9</f>
        <v>Sian</v>
      </c>
      <c r="B9" s="37"/>
      <c r="C9" s="1" t="s">
        <v>6</v>
      </c>
      <c r="D9" s="1" t="s">
        <v>6</v>
      </c>
      <c r="E9" s="1" t="s">
        <v>6</v>
      </c>
      <c r="F9" s="1" t="s">
        <v>6</v>
      </c>
      <c r="G9" s="1" t="s">
        <v>6</v>
      </c>
      <c r="H9" s="1" t="s">
        <v>6</v>
      </c>
      <c r="I9" s="1" t="s">
        <v>6</v>
      </c>
      <c r="J9" s="1" t="s">
        <v>6</v>
      </c>
      <c r="K9" s="6"/>
      <c r="L9" s="6">
        <v>3</v>
      </c>
      <c r="M9" s="6"/>
      <c r="N9" s="6">
        <v>3</v>
      </c>
      <c r="O9" s="6"/>
      <c r="P9" s="6">
        <v>7</v>
      </c>
      <c r="Q9" s="6"/>
      <c r="R9" s="6">
        <v>8</v>
      </c>
      <c r="S9" s="6"/>
      <c r="T9" s="6">
        <v>3</v>
      </c>
      <c r="U9" s="6"/>
      <c r="V9" s="6">
        <v>12</v>
      </c>
      <c r="W9" s="6"/>
      <c r="X9" s="6">
        <v>7</v>
      </c>
      <c r="Y9" s="6"/>
      <c r="Z9" s="6">
        <v>3</v>
      </c>
      <c r="AA9" s="1">
        <f t="shared" si="0"/>
        <v>46</v>
      </c>
      <c r="AB9" t="str">
        <f t="shared" si="1"/>
        <v>Llwyddo L2</v>
      </c>
      <c r="AC9">
        <f t="shared" si="2"/>
        <v>1</v>
      </c>
    </row>
    <row r="10" spans="1:31" x14ac:dyDescent="0.25">
      <c r="A10" s="36" t="str">
        <f>'CRYNODEB DISGYBL'!A10:B10</f>
        <v>George</v>
      </c>
      <c r="B10" s="37"/>
      <c r="C10" s="1" t="s">
        <v>6</v>
      </c>
      <c r="D10" s="1" t="s">
        <v>6</v>
      </c>
      <c r="E10" s="1" t="s">
        <v>6</v>
      </c>
      <c r="F10" s="1" t="s">
        <v>6</v>
      </c>
      <c r="G10" s="1" t="s">
        <v>6</v>
      </c>
      <c r="H10" s="1" t="s">
        <v>6</v>
      </c>
      <c r="I10" s="1" t="s">
        <v>6</v>
      </c>
      <c r="J10" s="1" t="s">
        <v>6</v>
      </c>
      <c r="K10" s="6"/>
      <c r="L10" s="6">
        <v>4</v>
      </c>
      <c r="M10" s="6"/>
      <c r="N10" s="6">
        <v>5</v>
      </c>
      <c r="O10" s="6"/>
      <c r="P10" s="6">
        <v>8</v>
      </c>
      <c r="Q10" s="6"/>
      <c r="R10" s="6">
        <v>7</v>
      </c>
      <c r="S10" s="6"/>
      <c r="T10" s="6">
        <v>5</v>
      </c>
      <c r="U10" s="6"/>
      <c r="V10" s="6">
        <v>10</v>
      </c>
      <c r="W10" s="6"/>
      <c r="X10" s="6">
        <v>8</v>
      </c>
      <c r="Y10" s="6"/>
      <c r="Z10" s="6">
        <v>1</v>
      </c>
      <c r="AA10" s="1">
        <f t="shared" si="0"/>
        <v>48</v>
      </c>
      <c r="AB10" t="str">
        <f t="shared" si="1"/>
        <v>Llwyddo L2</v>
      </c>
      <c r="AC10">
        <f t="shared" si="2"/>
        <v>1</v>
      </c>
    </row>
    <row r="11" spans="1:31" x14ac:dyDescent="0.25">
      <c r="A11" s="36" t="str">
        <f>'CRYNODEB DISGYBL'!A11:B11</f>
        <v>Genna</v>
      </c>
      <c r="B11" s="37"/>
      <c r="C11" s="1" t="s">
        <v>6</v>
      </c>
      <c r="D11" s="1" t="s">
        <v>6</v>
      </c>
      <c r="E11" s="1" t="s">
        <v>6</v>
      </c>
      <c r="F11" s="1" t="s">
        <v>6</v>
      </c>
      <c r="G11" s="1" t="s">
        <v>6</v>
      </c>
      <c r="H11" s="1" t="s">
        <v>6</v>
      </c>
      <c r="I11" s="1" t="s">
        <v>6</v>
      </c>
      <c r="J11" s="1" t="s">
        <v>6</v>
      </c>
      <c r="K11" s="6"/>
      <c r="L11" s="6">
        <v>5</v>
      </c>
      <c r="M11" s="6"/>
      <c r="N11" s="6">
        <v>12</v>
      </c>
      <c r="O11" s="6"/>
      <c r="P11" s="6">
        <v>9</v>
      </c>
      <c r="Q11" s="6"/>
      <c r="R11" s="6">
        <v>6</v>
      </c>
      <c r="S11" s="6"/>
      <c r="T11" s="6">
        <v>7</v>
      </c>
      <c r="U11" s="6"/>
      <c r="V11" s="6">
        <v>10</v>
      </c>
      <c r="W11" s="6"/>
      <c r="X11" s="6">
        <v>7</v>
      </c>
      <c r="Y11" s="6"/>
      <c r="Z11" s="6">
        <v>2</v>
      </c>
      <c r="AA11" s="1">
        <f t="shared" si="0"/>
        <v>58</v>
      </c>
      <c r="AB11" t="str">
        <f t="shared" si="1"/>
        <v>Teilyngdod</v>
      </c>
      <c r="AC11">
        <f t="shared" si="2"/>
        <v>1</v>
      </c>
    </row>
    <row r="12" spans="1:31" x14ac:dyDescent="0.25">
      <c r="A12" s="36" t="str">
        <f>'CRYNODEB DISGYBL'!A12:B12</f>
        <v>Rachel</v>
      </c>
      <c r="B12" s="37"/>
      <c r="C12" s="1" t="s">
        <v>6</v>
      </c>
      <c r="D12" s="1" t="s">
        <v>6</v>
      </c>
      <c r="E12" s="1" t="s">
        <v>6</v>
      </c>
      <c r="F12" s="1" t="s">
        <v>6</v>
      </c>
      <c r="G12" s="1" t="s">
        <v>6</v>
      </c>
      <c r="H12" s="1" t="s">
        <v>6</v>
      </c>
      <c r="I12" s="1" t="s">
        <v>6</v>
      </c>
      <c r="J12" s="1" t="s">
        <v>6</v>
      </c>
      <c r="K12" s="6"/>
      <c r="L12" s="6">
        <v>4</v>
      </c>
      <c r="M12" s="6"/>
      <c r="N12" s="6">
        <v>8</v>
      </c>
      <c r="O12" s="6"/>
      <c r="P12" s="6">
        <v>8</v>
      </c>
      <c r="Q12" s="6"/>
      <c r="R12" s="6">
        <v>5</v>
      </c>
      <c r="S12" s="6"/>
      <c r="T12" s="6">
        <v>1</v>
      </c>
      <c r="U12" s="6"/>
      <c r="V12" s="6">
        <v>12</v>
      </c>
      <c r="W12" s="6"/>
      <c r="X12" s="6">
        <v>6</v>
      </c>
      <c r="Y12" s="6"/>
      <c r="Z12" s="6">
        <v>4</v>
      </c>
      <c r="AA12" s="1">
        <f t="shared" si="0"/>
        <v>48</v>
      </c>
      <c r="AB12" t="str">
        <f t="shared" si="1"/>
        <v>Llwyddo L2</v>
      </c>
      <c r="AC12">
        <f t="shared" si="2"/>
        <v>1</v>
      </c>
    </row>
    <row r="13" spans="1:31" x14ac:dyDescent="0.25">
      <c r="A13" s="36" t="str">
        <f>'CRYNODEB DISGYBL'!A13:B13</f>
        <v>Liam</v>
      </c>
      <c r="B13" s="37"/>
      <c r="C13" s="1" t="s">
        <v>6</v>
      </c>
      <c r="D13" s="1" t="s">
        <v>6</v>
      </c>
      <c r="E13" s="1" t="s">
        <v>6</v>
      </c>
      <c r="F13" s="1" t="s">
        <v>6</v>
      </c>
      <c r="G13" s="1" t="s">
        <v>6</v>
      </c>
      <c r="H13" s="1" t="s">
        <v>6</v>
      </c>
      <c r="I13" s="1" t="s">
        <v>6</v>
      </c>
      <c r="J13" s="1" t="s">
        <v>6</v>
      </c>
      <c r="K13" s="6"/>
      <c r="L13" s="6">
        <v>3</v>
      </c>
      <c r="M13" s="6"/>
      <c r="N13" s="6">
        <v>12</v>
      </c>
      <c r="O13" s="6"/>
      <c r="P13" s="6">
        <v>7</v>
      </c>
      <c r="Q13" s="6"/>
      <c r="R13" s="6">
        <v>4</v>
      </c>
      <c r="S13" s="6"/>
      <c r="T13" s="6">
        <v>12</v>
      </c>
      <c r="U13" s="6"/>
      <c r="V13" s="6">
        <v>11</v>
      </c>
      <c r="W13" s="6"/>
      <c r="X13" s="6">
        <v>5</v>
      </c>
      <c r="Y13" s="6"/>
      <c r="Z13" s="6">
        <v>3</v>
      </c>
      <c r="AA13" s="1">
        <f t="shared" si="0"/>
        <v>57</v>
      </c>
      <c r="AB13" t="str">
        <f t="shared" si="1"/>
        <v>Teilyngdod</v>
      </c>
      <c r="AC13">
        <f t="shared" si="2"/>
        <v>1</v>
      </c>
    </row>
    <row r="14" spans="1:31" x14ac:dyDescent="0.25">
      <c r="A14" s="36" t="str">
        <f>'CRYNODEB DISGYBL'!A14:B14</f>
        <v>Casey</v>
      </c>
      <c r="B14" s="37"/>
      <c r="C14" s="1" t="s">
        <v>6</v>
      </c>
      <c r="D14" s="1" t="s">
        <v>6</v>
      </c>
      <c r="E14" s="1" t="s">
        <v>6</v>
      </c>
      <c r="F14" s="1" t="s">
        <v>6</v>
      </c>
      <c r="G14" s="1" t="s">
        <v>6</v>
      </c>
      <c r="H14" s="1" t="s">
        <v>6</v>
      </c>
      <c r="I14" s="1" t="s">
        <v>6</v>
      </c>
      <c r="J14" s="1" t="s">
        <v>6</v>
      </c>
      <c r="K14" s="6"/>
      <c r="L14" s="6">
        <v>7</v>
      </c>
      <c r="M14" s="6"/>
      <c r="N14" s="6">
        <v>3</v>
      </c>
      <c r="O14" s="6"/>
      <c r="P14" s="6">
        <v>8</v>
      </c>
      <c r="Q14" s="6"/>
      <c r="R14" s="6">
        <v>3</v>
      </c>
      <c r="S14" s="6"/>
      <c r="T14" s="6">
        <v>11</v>
      </c>
      <c r="U14" s="6"/>
      <c r="V14" s="6">
        <v>2</v>
      </c>
      <c r="W14" s="6"/>
      <c r="X14" s="6">
        <v>4</v>
      </c>
      <c r="Y14" s="6"/>
      <c r="Z14" s="6">
        <v>2</v>
      </c>
      <c r="AA14" s="1">
        <f t="shared" si="0"/>
        <v>40</v>
      </c>
      <c r="AB14" t="str">
        <f t="shared" si="1"/>
        <v>Llwyddo L2</v>
      </c>
      <c r="AC14">
        <f t="shared" si="2"/>
        <v>1</v>
      </c>
    </row>
    <row r="15" spans="1:31" x14ac:dyDescent="0.25">
      <c r="A15" s="36" t="str">
        <f>'CRYNODEB DISGYBL'!A15:B15</f>
        <v>Kai</v>
      </c>
      <c r="B15" s="37"/>
      <c r="C15" s="1" t="s">
        <v>6</v>
      </c>
      <c r="D15" s="1" t="s">
        <v>6</v>
      </c>
      <c r="E15" s="1" t="s">
        <v>6</v>
      </c>
      <c r="F15" s="1" t="s">
        <v>6</v>
      </c>
      <c r="G15" s="1" t="s">
        <v>6</v>
      </c>
      <c r="H15" s="1" t="s">
        <v>6</v>
      </c>
      <c r="I15" s="1" t="s">
        <v>6</v>
      </c>
      <c r="J15" s="1" t="s">
        <v>6</v>
      </c>
      <c r="K15" s="6"/>
      <c r="L15" s="6">
        <v>9</v>
      </c>
      <c r="M15" s="6"/>
      <c r="N15" s="6">
        <v>4</v>
      </c>
      <c r="O15" s="6"/>
      <c r="P15" s="6">
        <v>6</v>
      </c>
      <c r="Q15" s="6"/>
      <c r="R15" s="6">
        <v>1</v>
      </c>
      <c r="S15" s="6"/>
      <c r="T15" s="6">
        <v>10</v>
      </c>
      <c r="U15" s="6"/>
      <c r="V15" s="6">
        <v>4</v>
      </c>
      <c r="W15" s="6"/>
      <c r="X15" s="6">
        <v>2</v>
      </c>
      <c r="Y15" s="6"/>
      <c r="Z15" s="6">
        <v>1</v>
      </c>
      <c r="AA15" s="1">
        <f t="shared" si="0"/>
        <v>37</v>
      </c>
      <c r="AB15" t="str">
        <f t="shared" si="1"/>
        <v>llwyddo L1</v>
      </c>
      <c r="AC15">
        <f t="shared" si="2"/>
        <v>1</v>
      </c>
    </row>
    <row r="16" spans="1:31" x14ac:dyDescent="0.25">
      <c r="A16" s="36" t="str">
        <f>'CRYNODEB DISGYBL'!A16:B16</f>
        <v>Ethan</v>
      </c>
      <c r="B16" s="37"/>
      <c r="C16" s="1" t="s">
        <v>6</v>
      </c>
      <c r="D16" s="1" t="s">
        <v>6</v>
      </c>
      <c r="E16" s="1" t="s">
        <v>6</v>
      </c>
      <c r="F16" s="1" t="s">
        <v>6</v>
      </c>
      <c r="G16" s="1" t="s">
        <v>6</v>
      </c>
      <c r="H16" s="1" t="s">
        <v>6</v>
      </c>
      <c r="I16" s="1" t="s">
        <v>6</v>
      </c>
      <c r="J16" s="1" t="s">
        <v>6</v>
      </c>
      <c r="K16" s="6"/>
      <c r="L16" s="6">
        <v>1</v>
      </c>
      <c r="M16" s="6"/>
      <c r="N16" s="6">
        <v>8</v>
      </c>
      <c r="O16" s="6"/>
      <c r="P16" s="6">
        <v>5</v>
      </c>
      <c r="Q16" s="6"/>
      <c r="R16" s="6">
        <v>2</v>
      </c>
      <c r="S16" s="6"/>
      <c r="T16" s="6">
        <v>10</v>
      </c>
      <c r="U16" s="6"/>
      <c r="V16" s="6">
        <v>3</v>
      </c>
      <c r="W16" s="6"/>
      <c r="X16" s="6">
        <v>9</v>
      </c>
      <c r="Y16" s="6"/>
      <c r="Z16" s="6">
        <v>2</v>
      </c>
      <c r="AA16" s="1">
        <f t="shared" si="0"/>
        <v>40</v>
      </c>
      <c r="AB16" t="str">
        <f t="shared" si="1"/>
        <v>Llwyddo L2</v>
      </c>
      <c r="AC16">
        <f t="shared" si="2"/>
        <v>1</v>
      </c>
    </row>
    <row r="17" spans="1:29" x14ac:dyDescent="0.25">
      <c r="A17" s="36" t="str">
        <f>'CRYNODEB DISGYBL'!A17:B17</f>
        <v>Lou</v>
      </c>
      <c r="B17" s="37"/>
      <c r="C17" s="1" t="s">
        <v>6</v>
      </c>
      <c r="D17" s="1" t="s">
        <v>6</v>
      </c>
      <c r="E17" s="1" t="s">
        <v>6</v>
      </c>
      <c r="F17" s="1" t="s">
        <v>6</v>
      </c>
      <c r="G17" s="1" t="s">
        <v>6</v>
      </c>
      <c r="H17" s="1" t="s">
        <v>6</v>
      </c>
      <c r="I17" s="1" t="s">
        <v>6</v>
      </c>
      <c r="J17" s="1" t="s">
        <v>6</v>
      </c>
      <c r="K17" s="6"/>
      <c r="L17" s="6">
        <v>9</v>
      </c>
      <c r="M17" s="6"/>
      <c r="N17" s="6">
        <v>3</v>
      </c>
      <c r="O17" s="6"/>
      <c r="P17" s="6">
        <v>4</v>
      </c>
      <c r="Q17" s="6"/>
      <c r="R17" s="6">
        <v>12</v>
      </c>
      <c r="S17" s="6"/>
      <c r="T17" s="6">
        <v>2</v>
      </c>
      <c r="U17" s="6"/>
      <c r="V17" s="6">
        <v>2</v>
      </c>
      <c r="W17" s="6"/>
      <c r="X17" s="6">
        <v>8</v>
      </c>
      <c r="Y17" s="6"/>
      <c r="Z17" s="6">
        <v>3</v>
      </c>
      <c r="AA17" s="1">
        <f t="shared" si="0"/>
        <v>43</v>
      </c>
      <c r="AB17" t="str">
        <f t="shared" si="1"/>
        <v>Llwyddo L2</v>
      </c>
      <c r="AC17">
        <f t="shared" si="2"/>
        <v>1</v>
      </c>
    </row>
    <row r="18" spans="1:29" x14ac:dyDescent="0.25">
      <c r="A18" s="36" t="str">
        <f>'CRYNODEB DISGYBL'!A18:B18</f>
        <v>David</v>
      </c>
      <c r="B18" s="37"/>
      <c r="C18" s="1" t="s">
        <v>6</v>
      </c>
      <c r="D18" s="1" t="s">
        <v>6</v>
      </c>
      <c r="E18" s="1" t="s">
        <v>6</v>
      </c>
      <c r="F18" s="1" t="s">
        <v>6</v>
      </c>
      <c r="G18" s="1" t="s">
        <v>6</v>
      </c>
      <c r="H18" s="1" t="s">
        <v>6</v>
      </c>
      <c r="I18" s="1" t="s">
        <v>6</v>
      </c>
      <c r="J18" s="1" t="s">
        <v>6</v>
      </c>
      <c r="K18" s="6"/>
      <c r="L18" s="6">
        <v>7</v>
      </c>
      <c r="M18" s="6"/>
      <c r="N18" s="6">
        <v>7</v>
      </c>
      <c r="O18" s="6"/>
      <c r="P18" s="6">
        <v>7</v>
      </c>
      <c r="Q18" s="6"/>
      <c r="R18" s="6">
        <v>8</v>
      </c>
      <c r="S18" s="6"/>
      <c r="T18" s="6">
        <v>8</v>
      </c>
      <c r="U18" s="6"/>
      <c r="V18" s="6">
        <v>7</v>
      </c>
      <c r="W18" s="6"/>
      <c r="X18" s="6">
        <v>8</v>
      </c>
      <c r="Y18" s="6"/>
      <c r="Z18" s="6">
        <v>7</v>
      </c>
      <c r="AA18" s="1">
        <f t="shared" si="0"/>
        <v>59</v>
      </c>
      <c r="AB18" t="str">
        <f t="shared" si="1"/>
        <v>Teilyngdod</v>
      </c>
      <c r="AC18">
        <f t="shared" si="2"/>
        <v>1</v>
      </c>
    </row>
    <row r="19" spans="1:29" x14ac:dyDescent="0.25">
      <c r="A19" s="36">
        <f>'CRYNODEB DISGYBL'!A19:B19</f>
        <v>0</v>
      </c>
      <c r="B19" s="37"/>
      <c r="C19" s="1"/>
      <c r="D19" s="1"/>
      <c r="E19" s="1"/>
      <c r="F19" s="1"/>
      <c r="G19" s="1"/>
      <c r="H19" s="1"/>
      <c r="I19" s="1"/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">
        <f t="shared" si="0"/>
        <v>0</v>
      </c>
      <c r="AB19" t="str">
        <f t="shared" si="1"/>
        <v>methu</v>
      </c>
      <c r="AC19">
        <f t="shared" si="2"/>
        <v>0</v>
      </c>
    </row>
    <row r="20" spans="1:29" x14ac:dyDescent="0.25">
      <c r="A20" s="36">
        <f>'CRYNODEB DISGYBL'!A20:B20</f>
        <v>0</v>
      </c>
      <c r="B20" s="37"/>
      <c r="C20" s="1"/>
      <c r="D20" s="1"/>
      <c r="E20" s="1"/>
      <c r="F20" s="1"/>
      <c r="G20" s="1"/>
      <c r="H20" s="1"/>
      <c r="I20" s="1"/>
      <c r="J20" s="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">
        <f t="shared" si="0"/>
        <v>0</v>
      </c>
      <c r="AB20" t="str">
        <f t="shared" si="1"/>
        <v>methu</v>
      </c>
      <c r="AC20">
        <f t="shared" si="2"/>
        <v>0</v>
      </c>
    </row>
    <row r="21" spans="1:29" x14ac:dyDescent="0.25">
      <c r="A21" s="36">
        <f>'CRYNODEB DISGYBL'!A21:B21</f>
        <v>0</v>
      </c>
      <c r="B21" s="37"/>
      <c r="C21" s="1"/>
      <c r="D21" s="1"/>
      <c r="E21" s="1"/>
      <c r="F21" s="1"/>
      <c r="G21" s="1"/>
      <c r="H21" s="1"/>
      <c r="I21" s="1"/>
      <c r="J21" s="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">
        <f t="shared" si="0"/>
        <v>0</v>
      </c>
      <c r="AB21" t="str">
        <f t="shared" si="1"/>
        <v>methu</v>
      </c>
      <c r="AC21">
        <f t="shared" si="2"/>
        <v>0</v>
      </c>
    </row>
    <row r="22" spans="1:29" x14ac:dyDescent="0.25">
      <c r="A22" s="36">
        <f>'CRYNODEB DISGYBL'!A22:B22</f>
        <v>0</v>
      </c>
      <c r="B22" s="37"/>
      <c r="C22" s="1"/>
      <c r="D22" s="1"/>
      <c r="E22" s="1"/>
      <c r="F22" s="1"/>
      <c r="G22" s="1"/>
      <c r="H22" s="1"/>
      <c r="I22" s="1"/>
      <c r="J22" s="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">
        <f t="shared" si="0"/>
        <v>0</v>
      </c>
      <c r="AB22" t="str">
        <f t="shared" si="1"/>
        <v>methu</v>
      </c>
      <c r="AC22">
        <f t="shared" si="2"/>
        <v>0</v>
      </c>
    </row>
    <row r="23" spans="1:29" x14ac:dyDescent="0.25">
      <c r="A23" s="36">
        <f>'CRYNODEB DISGYBL'!A23:B23</f>
        <v>0</v>
      </c>
      <c r="B23" s="37"/>
      <c r="C23" s="1"/>
      <c r="D23" s="1"/>
      <c r="E23" s="1"/>
      <c r="F23" s="1"/>
      <c r="G23" s="1"/>
      <c r="H23" s="1"/>
      <c r="I23" s="1"/>
      <c r="J23" s="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">
        <f t="shared" si="0"/>
        <v>0</v>
      </c>
      <c r="AB23" t="str">
        <f t="shared" si="1"/>
        <v>methu</v>
      </c>
      <c r="AC23">
        <f t="shared" si="2"/>
        <v>0</v>
      </c>
    </row>
    <row r="24" spans="1:29" x14ac:dyDescent="0.25">
      <c r="A24" s="36">
        <f>'CRYNODEB DISGYBL'!A24:B24</f>
        <v>0</v>
      </c>
      <c r="B24" s="37"/>
      <c r="C24" s="1"/>
      <c r="D24" s="1"/>
      <c r="E24" s="1"/>
      <c r="F24" s="1"/>
      <c r="G24" s="1"/>
      <c r="H24" s="1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">
        <f t="shared" si="0"/>
        <v>0</v>
      </c>
      <c r="AB24" t="str">
        <f>LOOKUP(AA24,$AD$3:$AE$7)</f>
        <v>methu</v>
      </c>
      <c r="AC24">
        <f t="shared" si="2"/>
        <v>0</v>
      </c>
    </row>
    <row r="25" spans="1:29" x14ac:dyDescent="0.25">
      <c r="A25" s="36">
        <f>'CRYNODEB DISGYBL'!A25:B25</f>
        <v>0</v>
      </c>
      <c r="B25" s="37"/>
      <c r="C25" s="1"/>
      <c r="D25" s="1"/>
      <c r="E25" s="1"/>
      <c r="F25" s="1"/>
      <c r="G25" s="1"/>
      <c r="H25" s="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">
        <f t="shared" si="0"/>
        <v>0</v>
      </c>
      <c r="AB25" t="str">
        <f t="shared" si="1"/>
        <v>methu</v>
      </c>
      <c r="AC25">
        <f t="shared" si="2"/>
        <v>0</v>
      </c>
    </row>
    <row r="26" spans="1:29" x14ac:dyDescent="0.25">
      <c r="A26" s="36">
        <f>'CRYNODEB DISGYBL'!A26:B26</f>
        <v>0</v>
      </c>
      <c r="B26" s="37"/>
      <c r="C26" s="1"/>
      <c r="D26" s="1"/>
      <c r="E26" s="1"/>
      <c r="F26" s="1"/>
      <c r="G26" s="1"/>
      <c r="H26" s="1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">
        <f t="shared" si="0"/>
        <v>0</v>
      </c>
      <c r="AB26" t="str">
        <f t="shared" si="1"/>
        <v>methu</v>
      </c>
      <c r="AC26">
        <f t="shared" si="2"/>
        <v>0</v>
      </c>
    </row>
    <row r="27" spans="1:29" x14ac:dyDescent="0.25">
      <c r="A27" s="36">
        <f>'CRYNODEB DISGYBL'!A27:B27</f>
        <v>0</v>
      </c>
      <c r="B27" s="37"/>
      <c r="C27" s="1"/>
      <c r="D27" s="1"/>
      <c r="E27" s="1"/>
      <c r="F27" s="1"/>
      <c r="G27" s="1"/>
      <c r="H27" s="1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">
        <f t="shared" si="0"/>
        <v>0</v>
      </c>
      <c r="AB27" t="str">
        <f t="shared" si="1"/>
        <v>methu</v>
      </c>
      <c r="AC27">
        <f t="shared" si="2"/>
        <v>0</v>
      </c>
    </row>
    <row r="28" spans="1:29" x14ac:dyDescent="0.25">
      <c r="A28" s="36">
        <f>'CRYNODEB DISGYBL'!A28:B28</f>
        <v>0</v>
      </c>
      <c r="B28" s="37"/>
      <c r="C28" s="1"/>
      <c r="D28" s="1"/>
      <c r="E28" s="1"/>
      <c r="F28" s="1"/>
      <c r="G28" s="1"/>
      <c r="H28" s="1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">
        <f t="shared" si="0"/>
        <v>0</v>
      </c>
      <c r="AB28" t="str">
        <f t="shared" si="1"/>
        <v>methu</v>
      </c>
      <c r="AC28">
        <f t="shared" si="2"/>
        <v>0</v>
      </c>
    </row>
    <row r="29" spans="1:29" x14ac:dyDescent="0.25">
      <c r="A29" s="36">
        <f>'CRYNODEB DISGYBL'!A29:B29</f>
        <v>0</v>
      </c>
      <c r="B29" s="37"/>
      <c r="C29" s="1"/>
      <c r="D29" s="1"/>
      <c r="E29" s="1"/>
      <c r="F29" s="1"/>
      <c r="G29" s="1"/>
      <c r="H29" s="1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">
        <f t="shared" si="0"/>
        <v>0</v>
      </c>
      <c r="AB29" t="str">
        <f t="shared" si="1"/>
        <v>methu</v>
      </c>
      <c r="AC29">
        <f t="shared" si="2"/>
        <v>0</v>
      </c>
    </row>
    <row r="30" spans="1:29" x14ac:dyDescent="0.25">
      <c r="A30" s="36">
        <f>'CRYNODEB DISGYBL'!A30:B30</f>
        <v>0</v>
      </c>
      <c r="B30" s="37"/>
      <c r="C30" s="1"/>
      <c r="D30" s="1"/>
      <c r="E30" s="1"/>
      <c r="F30" s="1"/>
      <c r="G30" s="1"/>
      <c r="H30" s="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">
        <f t="shared" si="0"/>
        <v>0</v>
      </c>
      <c r="AB30" t="str">
        <f t="shared" si="1"/>
        <v>methu</v>
      </c>
      <c r="AC30">
        <f t="shared" si="2"/>
        <v>0</v>
      </c>
    </row>
  </sheetData>
  <mergeCells count="38">
    <mergeCell ref="U2:V2"/>
    <mergeCell ref="W2:X2"/>
    <mergeCell ref="Y2:Z2"/>
    <mergeCell ref="A2:B2"/>
    <mergeCell ref="C2:J2"/>
    <mergeCell ref="K2:L2"/>
    <mergeCell ref="M2:N2"/>
    <mergeCell ref="O2:P2"/>
    <mergeCell ref="Q2:R2"/>
    <mergeCell ref="S2:T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conditionalFormatting sqref="C4:C30 D4:J17">
    <cfRule type="containsText" dxfId="35" priority="15" operator="containsText" text="N">
      <formula>NOT(ISERROR(SEARCH("N",C4)))</formula>
    </cfRule>
    <cfRule type="containsText" dxfId="34" priority="16" operator="containsText" text="Y">
      <formula>NOT(ISERROR(SEARCH("Y",C4)))</formula>
    </cfRule>
  </conditionalFormatting>
  <conditionalFormatting sqref="G18:G30">
    <cfRule type="containsText" dxfId="33" priority="7" operator="containsText" text="N">
      <formula>NOT(ISERROR(SEARCH("N",G18)))</formula>
    </cfRule>
    <cfRule type="containsText" dxfId="32" priority="8" operator="containsText" text="Y">
      <formula>NOT(ISERROR(SEARCH("Y",G18)))</formula>
    </cfRule>
  </conditionalFormatting>
  <conditionalFormatting sqref="D18:D30">
    <cfRule type="containsText" dxfId="31" priority="13" operator="containsText" text="N">
      <formula>NOT(ISERROR(SEARCH("N",D18)))</formula>
    </cfRule>
    <cfRule type="containsText" dxfId="30" priority="14" operator="containsText" text="Y">
      <formula>NOT(ISERROR(SEARCH("Y",D18)))</formula>
    </cfRule>
  </conditionalFormatting>
  <conditionalFormatting sqref="E18:E30">
    <cfRule type="containsText" dxfId="29" priority="11" operator="containsText" text="N">
      <formula>NOT(ISERROR(SEARCH("N",E18)))</formula>
    </cfRule>
    <cfRule type="containsText" dxfId="28" priority="12" operator="containsText" text="Y">
      <formula>NOT(ISERROR(SEARCH("Y",E18)))</formula>
    </cfRule>
  </conditionalFormatting>
  <conditionalFormatting sqref="F18:F30">
    <cfRule type="containsText" dxfId="27" priority="9" operator="containsText" text="N">
      <formula>NOT(ISERROR(SEARCH("N",F18)))</formula>
    </cfRule>
    <cfRule type="containsText" dxfId="26" priority="10" operator="containsText" text="Y">
      <formula>NOT(ISERROR(SEARCH("Y",F18)))</formula>
    </cfRule>
  </conditionalFormatting>
  <conditionalFormatting sqref="I18:I30">
    <cfRule type="containsText" dxfId="25" priority="3" operator="containsText" text="N">
      <formula>NOT(ISERROR(SEARCH("N",I18)))</formula>
    </cfRule>
    <cfRule type="containsText" dxfId="24" priority="4" operator="containsText" text="Y">
      <formula>NOT(ISERROR(SEARCH("Y",I18)))</formula>
    </cfRule>
  </conditionalFormatting>
  <conditionalFormatting sqref="H18:H30">
    <cfRule type="containsText" dxfId="23" priority="5" operator="containsText" text="N">
      <formula>NOT(ISERROR(SEARCH("N",H18)))</formula>
    </cfRule>
    <cfRule type="containsText" dxfId="22" priority="6" operator="containsText" text="Y">
      <formula>NOT(ISERROR(SEARCH("Y",H18)))</formula>
    </cfRule>
  </conditionalFormatting>
  <conditionalFormatting sqref="J18:J30">
    <cfRule type="containsText" dxfId="21" priority="1" operator="containsText" text="N">
      <formula>NOT(ISERROR(SEARCH("N",J18)))</formula>
    </cfRule>
    <cfRule type="containsText" dxfId="20" priority="2" operator="containsText" text="Y">
      <formula>NOT(ISERROR(SEARCH("Y",J18)))</formula>
    </cfRule>
  </conditionalFormatting>
  <dataValidations count="2">
    <dataValidation type="list" allowBlank="1" showInputMessage="1" showErrorMessage="1" sqref="K4:K30 M4:M30 O4:O30 Q4:Q30 S4:S30 U4:U30 W4:W30 Y4:Y30">
      <formula1>Band</formula1>
    </dataValidation>
    <dataValidation type="list" allowBlank="1" showInputMessage="1" showErrorMessage="1" sqref="L4:L30 N4:N30 P4:P30 R4:R30 T4:T30 X4:X30 Z4:Z30 V4:V30">
      <formula1>Mark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T3" sqref="T3"/>
    </sheetView>
  </sheetViews>
  <sheetFormatPr defaultColWidth="8.85546875" defaultRowHeight="15" x14ac:dyDescent="0.25"/>
  <cols>
    <col min="1" max="1" width="13.140625" customWidth="1"/>
    <col min="2" max="2" width="14.42578125" customWidth="1"/>
    <col min="3" max="5" width="18.140625" hidden="1" customWidth="1"/>
    <col min="6" max="6" width="26.140625" hidden="1" customWidth="1"/>
    <col min="7" max="8" width="18" hidden="1" customWidth="1"/>
    <col min="9" max="10" width="17.42578125" hidden="1" customWidth="1"/>
    <col min="11" max="11" width="12.28515625" hidden="1" customWidth="1"/>
    <col min="12" max="12" width="30.42578125" hidden="1" customWidth="1"/>
    <col min="13" max="14" width="17.85546875" customWidth="1"/>
    <col min="15" max="15" width="10.42578125" style="2" customWidth="1"/>
    <col min="19" max="19" width="13.28515625" customWidth="1"/>
  </cols>
  <sheetData>
    <row r="1" spans="1:20" ht="18.75" x14ac:dyDescent="0.3">
      <c r="A1" s="7" t="s">
        <v>88</v>
      </c>
      <c r="C1" s="49" t="s">
        <v>5</v>
      </c>
      <c r="D1" s="50"/>
      <c r="E1" s="50"/>
      <c r="F1" s="50"/>
      <c r="G1" s="50"/>
      <c r="H1" s="50"/>
      <c r="I1" s="50"/>
      <c r="J1" s="51"/>
    </row>
    <row r="2" spans="1:20" ht="15.75" x14ac:dyDescent="0.25">
      <c r="A2" s="43" t="s">
        <v>42</v>
      </c>
      <c r="B2" s="43"/>
      <c r="C2" s="52">
        <v>0.5</v>
      </c>
      <c r="D2" s="37"/>
      <c r="E2" s="52">
        <v>0.2</v>
      </c>
      <c r="F2" s="37"/>
      <c r="G2" s="52">
        <v>0.15</v>
      </c>
      <c r="H2" s="37"/>
      <c r="I2" s="53">
        <v>0.15</v>
      </c>
      <c r="J2" s="54"/>
      <c r="K2" s="8"/>
      <c r="L2" s="8"/>
    </row>
    <row r="3" spans="1:20" s="4" customFormat="1" ht="64.5" customHeight="1" x14ac:dyDescent="0.25">
      <c r="A3" s="38" t="s">
        <v>47</v>
      </c>
      <c r="B3" s="39"/>
      <c r="C3" s="10" t="s">
        <v>19</v>
      </c>
      <c r="D3" s="10" t="s">
        <v>17</v>
      </c>
      <c r="E3" s="11" t="s">
        <v>18</v>
      </c>
      <c r="F3" s="11" t="s">
        <v>20</v>
      </c>
      <c r="G3" s="12" t="s">
        <v>21</v>
      </c>
      <c r="H3" s="18" t="s">
        <v>22</v>
      </c>
      <c r="I3" s="13" t="s">
        <v>23</v>
      </c>
      <c r="J3" s="13" t="s">
        <v>24</v>
      </c>
      <c r="K3" s="9" t="s">
        <v>4</v>
      </c>
      <c r="L3" s="9" t="s">
        <v>3</v>
      </c>
      <c r="M3" s="21" t="s">
        <v>89</v>
      </c>
      <c r="N3" s="21" t="s">
        <v>90</v>
      </c>
      <c r="O3" s="33" t="s">
        <v>91</v>
      </c>
      <c r="S3" s="21" t="s">
        <v>92</v>
      </c>
      <c r="T3" s="21" t="s">
        <v>93</v>
      </c>
    </row>
    <row r="4" spans="1:20" x14ac:dyDescent="0.25">
      <c r="A4" s="36" t="str">
        <f>MENTER!A4:B4</f>
        <v>Poppy</v>
      </c>
      <c r="B4" s="37"/>
      <c r="C4" s="29">
        <f>INDEX(Individual_Project, 2, 27)</f>
        <v>96</v>
      </c>
      <c r="D4" s="29">
        <f>C4*1.5625</f>
        <v>150</v>
      </c>
      <c r="E4" s="30">
        <f>INDEX(Enterprise_Employability, 2, 14)</f>
        <v>36</v>
      </c>
      <c r="F4" s="30">
        <f>E4*1.66666667</f>
        <v>60.000000119999996</v>
      </c>
      <c r="G4" s="31">
        <f>INDEX(Global_Citizenship, 2, 12)</f>
        <v>36</v>
      </c>
      <c r="H4" s="31">
        <f>G4*1.25</f>
        <v>45</v>
      </c>
      <c r="I4" s="32">
        <f>INDEX(Community_Challenge, 2, 13)</f>
        <v>36</v>
      </c>
      <c r="J4" s="32">
        <f>I4*1.25</f>
        <v>45</v>
      </c>
      <c r="K4" s="19">
        <f>C4*1.0625+E4*1.13+G4*0.85+G4*0.85</f>
        <v>203.88</v>
      </c>
      <c r="L4" s="19">
        <f>K4/204*100</f>
        <v>99.941176470588232</v>
      </c>
      <c r="M4" s="19">
        <f>SUM(D4+F4+H4+J4)</f>
        <v>300.00000011999998</v>
      </c>
      <c r="N4" s="19">
        <f>SUM(PROSIECT!AC4+CYMUNEDOL!O4+DINASYDDIAETH!N4+MENTER!P4)</f>
        <v>4</v>
      </c>
      <c r="O4" s="34" t="str">
        <f>VLOOKUP(M4,$S$5:$T$10,2,TRUE)</f>
        <v>A*</v>
      </c>
      <c r="S4" s="1">
        <v>0</v>
      </c>
      <c r="T4" s="1" t="s">
        <v>12</v>
      </c>
    </row>
    <row r="5" spans="1:20" x14ac:dyDescent="0.25">
      <c r="A5" s="36" t="str">
        <f>MENTER!A5:B5</f>
        <v>Harold</v>
      </c>
      <c r="B5" s="37"/>
      <c r="C5" s="29">
        <f>INDEX(Individual_Project, 3, 27)</f>
        <v>58</v>
      </c>
      <c r="D5" s="29">
        <f t="shared" ref="D5:D30" si="0">C5*1.5625</f>
        <v>90.625</v>
      </c>
      <c r="E5" s="30">
        <f>INDEX(Enterprise_Employability, 3, 14)</f>
        <v>22</v>
      </c>
      <c r="F5" s="30">
        <f t="shared" ref="F5:F30" si="1">E5*1.66666667</f>
        <v>36.666666739999997</v>
      </c>
      <c r="G5" s="31">
        <f>INDEX(Global_Citizenship, 3, 12)</f>
        <v>22</v>
      </c>
      <c r="H5" s="31">
        <f t="shared" ref="H5:H30" si="2">G5*1.25</f>
        <v>27.5</v>
      </c>
      <c r="I5" s="32">
        <f>INDEX(Community_Challenge, 3, 13)</f>
        <v>22</v>
      </c>
      <c r="J5" s="32">
        <f t="shared" ref="J5:J30" si="3">I5*1.25</f>
        <v>27.5</v>
      </c>
      <c r="K5" s="19">
        <f t="shared" ref="K5:K30" si="4">C5*1.0625+E5*1.13+G5*0.85+G5*0.85</f>
        <v>123.88500000000001</v>
      </c>
      <c r="L5" s="19">
        <f t="shared" ref="L5:L30" si="5">K5/204*100</f>
        <v>60.727941176470587</v>
      </c>
      <c r="M5" s="19">
        <f t="shared" ref="M5:M30" si="6">SUM(D5+F5+H5+J5)</f>
        <v>182.29166673999998</v>
      </c>
      <c r="N5" s="19">
        <f>SUM(PROSIECT!AC5+CYMUNEDOL!O5+DINASYDDIAETH!N5+MENTER!P5)</f>
        <v>4</v>
      </c>
      <c r="O5" s="34" t="str">
        <f>VLOOKUP(M5,$S$5:$T$10,2,TRUE)</f>
        <v>B</v>
      </c>
      <c r="S5" s="1">
        <v>60</v>
      </c>
      <c r="T5" s="1" t="s">
        <v>39</v>
      </c>
    </row>
    <row r="6" spans="1:20" x14ac:dyDescent="0.25">
      <c r="A6" s="36" t="str">
        <f>MENTER!A6:B6</f>
        <v>Jon</v>
      </c>
      <c r="B6" s="37"/>
      <c r="C6" s="29">
        <f>INDEX(Individual_Project, 4, 27)</f>
        <v>40</v>
      </c>
      <c r="D6" s="29">
        <f t="shared" si="0"/>
        <v>62.5</v>
      </c>
      <c r="E6" s="30">
        <f>INDEX(Enterprise_Employability, 4, 14)</f>
        <v>21</v>
      </c>
      <c r="F6" s="30">
        <f t="shared" si="1"/>
        <v>35.000000069999999</v>
      </c>
      <c r="G6" s="31">
        <f>INDEX(Global_Citizenship, 4, 12)</f>
        <v>17</v>
      </c>
      <c r="H6" s="31">
        <f t="shared" si="2"/>
        <v>21.25</v>
      </c>
      <c r="I6" s="32">
        <f>INDEX(Community_Challenge, 4, 13)</f>
        <v>19</v>
      </c>
      <c r="J6" s="32">
        <f t="shared" si="3"/>
        <v>23.75</v>
      </c>
      <c r="K6" s="19">
        <f t="shared" si="4"/>
        <v>95.13</v>
      </c>
      <c r="L6" s="19">
        <f t="shared" si="5"/>
        <v>46.632352941176471</v>
      </c>
      <c r="M6" s="19">
        <f t="shared" si="6"/>
        <v>142.50000007</v>
      </c>
      <c r="N6" s="19">
        <f>SUM(PROSIECT!AC6+CYMUNEDOL!O6+DINASYDDIAETH!N6+MENTER!P6)</f>
        <v>4</v>
      </c>
      <c r="O6" s="34" t="str">
        <f t="shared" ref="O6:O18" si="7">VLOOKUP(M6,$S$5:$T$10,2,TRUE)</f>
        <v>C</v>
      </c>
      <c r="S6" s="1">
        <v>90</v>
      </c>
      <c r="T6" s="1" t="s">
        <v>40</v>
      </c>
    </row>
    <row r="7" spans="1:20" x14ac:dyDescent="0.25">
      <c r="A7" s="36" t="str">
        <f>MENTER!A7:B7</f>
        <v>Gwyn</v>
      </c>
      <c r="B7" s="37"/>
      <c r="C7" s="29">
        <f>INDEX(Individual_Project, 5, 27)</f>
        <v>20</v>
      </c>
      <c r="D7" s="29">
        <f t="shared" si="0"/>
        <v>31.25</v>
      </c>
      <c r="E7" s="30">
        <f>INDEX(Enterprise_Employability, 5, 14)</f>
        <v>6</v>
      </c>
      <c r="F7" s="30">
        <f t="shared" si="1"/>
        <v>10.00000002</v>
      </c>
      <c r="G7" s="31">
        <f>INDEX(Global_Citizenship, 5, 12)</f>
        <v>9</v>
      </c>
      <c r="H7" s="31">
        <f t="shared" si="2"/>
        <v>11.25</v>
      </c>
      <c r="I7" s="32">
        <f>INDEX(Community_Challenge, 5, 13)</f>
        <v>6</v>
      </c>
      <c r="J7" s="32">
        <f t="shared" si="3"/>
        <v>7.5</v>
      </c>
      <c r="K7" s="19">
        <f t="shared" si="4"/>
        <v>43.33</v>
      </c>
      <c r="L7" s="19">
        <f t="shared" si="5"/>
        <v>21.240196078431374</v>
      </c>
      <c r="M7" s="19">
        <f t="shared" si="6"/>
        <v>60.000000020000002</v>
      </c>
      <c r="N7" s="19">
        <f>SUM(PROSIECT!AC7+CYMUNEDOL!O7+DINASYDDIAETH!N7+MENTER!P7)</f>
        <v>4</v>
      </c>
      <c r="O7" s="34" t="str">
        <f t="shared" si="7"/>
        <v>Pass</v>
      </c>
      <c r="S7" s="1">
        <v>120</v>
      </c>
      <c r="T7" s="1" t="s">
        <v>16</v>
      </c>
    </row>
    <row r="8" spans="1:20" x14ac:dyDescent="0.25">
      <c r="A8" s="36" t="str">
        <f>MENTER!A8:B8</f>
        <v>Arwen</v>
      </c>
      <c r="B8" s="37"/>
      <c r="C8" s="29">
        <f>INDEX(Individual_Project, 6, 27)</f>
        <v>43</v>
      </c>
      <c r="D8" s="29">
        <f t="shared" si="0"/>
        <v>67.1875</v>
      </c>
      <c r="E8" s="30">
        <f>INDEX(Enterprise_Employability, 6, 14)</f>
        <v>23</v>
      </c>
      <c r="F8" s="30">
        <f t="shared" si="1"/>
        <v>38.333333409999995</v>
      </c>
      <c r="G8" s="31">
        <f>INDEX(Global_Citizenship, 6, 12)</f>
        <v>23</v>
      </c>
      <c r="H8" s="31">
        <f t="shared" si="2"/>
        <v>28.75</v>
      </c>
      <c r="I8" s="32">
        <f>INDEX(Community_Challenge, 6, 13)</f>
        <v>26</v>
      </c>
      <c r="J8" s="32">
        <f t="shared" si="3"/>
        <v>32.5</v>
      </c>
      <c r="K8" s="19">
        <f t="shared" si="4"/>
        <v>110.77749999999999</v>
      </c>
      <c r="L8" s="19">
        <f t="shared" si="5"/>
        <v>54.302696078431367</v>
      </c>
      <c r="M8" s="19">
        <f t="shared" si="6"/>
        <v>166.77083340999999</v>
      </c>
      <c r="N8" s="19">
        <f>SUM(PROSIECT!AC8+CYMUNEDOL!O8+DINASYDDIAETH!N8+MENTER!P8)</f>
        <v>4</v>
      </c>
      <c r="O8" s="34" t="str">
        <f t="shared" si="7"/>
        <v>C</v>
      </c>
      <c r="S8" s="1">
        <v>180</v>
      </c>
      <c r="T8" s="1" t="s">
        <v>15</v>
      </c>
    </row>
    <row r="9" spans="1:20" x14ac:dyDescent="0.25">
      <c r="A9" s="36" t="str">
        <f>MENTER!A9:B9</f>
        <v>Sian</v>
      </c>
      <c r="B9" s="37"/>
      <c r="C9" s="29">
        <f>INDEX(Individual_Project, 7, 27)</f>
        <v>46</v>
      </c>
      <c r="D9" s="29">
        <f t="shared" si="0"/>
        <v>71.875</v>
      </c>
      <c r="E9" s="30">
        <f>INDEX(Enterprise_Employability, 7, 14)</f>
        <v>9</v>
      </c>
      <c r="F9" s="30">
        <f t="shared" si="1"/>
        <v>15.000000029999999</v>
      </c>
      <c r="G9" s="31">
        <f>INDEX(Global_Citizenship, 7, 12)</f>
        <v>22</v>
      </c>
      <c r="H9" s="31">
        <f t="shared" si="2"/>
        <v>27.5</v>
      </c>
      <c r="I9" s="32">
        <f>INDEX(Community_Challenge, 7, 13)</f>
        <v>36</v>
      </c>
      <c r="J9" s="32">
        <f t="shared" si="3"/>
        <v>45</v>
      </c>
      <c r="K9" s="19">
        <f t="shared" si="4"/>
        <v>96.445000000000007</v>
      </c>
      <c r="L9" s="19">
        <f t="shared" si="5"/>
        <v>47.276960784313729</v>
      </c>
      <c r="M9" s="19">
        <f t="shared" si="6"/>
        <v>159.37500003</v>
      </c>
      <c r="N9" s="19">
        <f>SUM(PROSIECT!AC9+CYMUNEDOL!O9+DINASYDDIAETH!N9+MENTER!P9)</f>
        <v>4</v>
      </c>
      <c r="O9" s="34" t="str">
        <f t="shared" si="7"/>
        <v>C</v>
      </c>
      <c r="S9" s="1">
        <v>240</v>
      </c>
      <c r="T9" s="1" t="s">
        <v>14</v>
      </c>
    </row>
    <row r="10" spans="1:20" x14ac:dyDescent="0.25">
      <c r="A10" s="36" t="str">
        <f>MENTER!A10:B10</f>
        <v>George</v>
      </c>
      <c r="B10" s="37"/>
      <c r="C10" s="29">
        <f>INDEX(Individual_Project, 8, 27)</f>
        <v>48</v>
      </c>
      <c r="D10" s="29">
        <f t="shared" si="0"/>
        <v>75</v>
      </c>
      <c r="E10" s="30">
        <f>INDEX(Enterprise_Employability, 8, 14)</f>
        <v>24</v>
      </c>
      <c r="F10" s="30">
        <f t="shared" si="1"/>
        <v>40.00000008</v>
      </c>
      <c r="G10" s="31">
        <f>INDEX(Global_Citizenship, 8, 12)</f>
        <v>35</v>
      </c>
      <c r="H10" s="31">
        <f t="shared" si="2"/>
        <v>43.75</v>
      </c>
      <c r="I10" s="32">
        <f>INDEX(Community_Challenge, 8, 13)</f>
        <v>12</v>
      </c>
      <c r="J10" s="32">
        <f t="shared" si="3"/>
        <v>15</v>
      </c>
      <c r="K10" s="19">
        <f t="shared" si="4"/>
        <v>137.62</v>
      </c>
      <c r="L10" s="19">
        <f t="shared" si="5"/>
        <v>67.460784313725497</v>
      </c>
      <c r="M10" s="19">
        <f t="shared" si="6"/>
        <v>173.75000008000001</v>
      </c>
      <c r="N10" s="19">
        <f>SUM(PROSIECT!AC10+CYMUNEDOL!O10+DINASYDDIAETH!N10+MENTER!P10)</f>
        <v>4</v>
      </c>
      <c r="O10" s="34" t="str">
        <f t="shared" si="7"/>
        <v>C</v>
      </c>
      <c r="S10" s="27">
        <v>270</v>
      </c>
      <c r="T10" s="27" t="s">
        <v>13</v>
      </c>
    </row>
    <row r="11" spans="1:20" x14ac:dyDescent="0.25">
      <c r="A11" s="36" t="str">
        <f>MENTER!A11:B11</f>
        <v>Genna</v>
      </c>
      <c r="B11" s="37"/>
      <c r="C11" s="29">
        <f>INDEX(Individual_Project, 9, 27)</f>
        <v>58</v>
      </c>
      <c r="D11" s="29">
        <f t="shared" si="0"/>
        <v>90.625</v>
      </c>
      <c r="E11" s="30">
        <f>INDEX(Enterprise_Employability, 9, 14)</f>
        <v>16</v>
      </c>
      <c r="F11" s="30">
        <f t="shared" si="1"/>
        <v>26.666666719999998</v>
      </c>
      <c r="G11" s="31">
        <f>INDEX(Global_Citizenship, 9, 12)</f>
        <v>18</v>
      </c>
      <c r="H11" s="31">
        <f t="shared" si="2"/>
        <v>22.5</v>
      </c>
      <c r="I11" s="32">
        <f>INDEX(Community_Challenge, 9, 13)</f>
        <v>23</v>
      </c>
      <c r="J11" s="32">
        <f t="shared" si="3"/>
        <v>28.75</v>
      </c>
      <c r="K11" s="19">
        <f t="shared" si="4"/>
        <v>110.30499999999999</v>
      </c>
      <c r="L11" s="19">
        <f t="shared" si="5"/>
        <v>54.071078431372541</v>
      </c>
      <c r="M11" s="19">
        <f t="shared" si="6"/>
        <v>168.54166671999999</v>
      </c>
      <c r="N11" s="19">
        <f>SUM(PROSIECT!AC11+CYMUNEDOL!O11+DINASYDDIAETH!N11+MENTER!P11)</f>
        <v>4</v>
      </c>
      <c r="O11" s="34" t="str">
        <f t="shared" si="7"/>
        <v>C</v>
      </c>
    </row>
    <row r="12" spans="1:20" x14ac:dyDescent="0.25">
      <c r="A12" s="36" t="str">
        <f>MENTER!A12:B12</f>
        <v>Rachel</v>
      </c>
      <c r="B12" s="37"/>
      <c r="C12" s="29">
        <f>INDEX(Individual_Project, 10, 27)</f>
        <v>48</v>
      </c>
      <c r="D12" s="29">
        <f t="shared" si="0"/>
        <v>75</v>
      </c>
      <c r="E12" s="30">
        <f>INDEX(Enterprise_Employability, 10, 14)</f>
        <v>15</v>
      </c>
      <c r="F12" s="30">
        <f t="shared" si="1"/>
        <v>25.000000049999997</v>
      </c>
      <c r="G12" s="31">
        <f>INDEX(Global_Citizenship, 10, 12)</f>
        <v>25</v>
      </c>
      <c r="H12" s="31">
        <f t="shared" si="2"/>
        <v>31.25</v>
      </c>
      <c r="I12" s="32">
        <f>INDEX(Community_Challenge, 10, 13)</f>
        <v>13</v>
      </c>
      <c r="J12" s="32">
        <f t="shared" si="3"/>
        <v>16.25</v>
      </c>
      <c r="K12" s="19">
        <f t="shared" si="4"/>
        <v>110.45</v>
      </c>
      <c r="L12" s="19">
        <f t="shared" si="5"/>
        <v>54.142156862745097</v>
      </c>
      <c r="M12" s="19">
        <f t="shared" si="6"/>
        <v>147.50000004999998</v>
      </c>
      <c r="N12" s="19">
        <f>SUM(PROSIECT!AC12+CYMUNEDOL!O12+DINASYDDIAETH!N12+MENTER!P12)</f>
        <v>4</v>
      </c>
      <c r="O12" s="34" t="str">
        <f t="shared" si="7"/>
        <v>C</v>
      </c>
    </row>
    <row r="13" spans="1:20" x14ac:dyDescent="0.25">
      <c r="A13" s="36" t="str">
        <f>MENTER!A13:B13</f>
        <v>Liam</v>
      </c>
      <c r="B13" s="37"/>
      <c r="C13" s="29">
        <f>INDEX(Individual_Project, 11, 27)</f>
        <v>57</v>
      </c>
      <c r="D13" s="29">
        <f t="shared" si="0"/>
        <v>89.0625</v>
      </c>
      <c r="E13" s="30">
        <f>INDEX(Enterprise_Employability, 11, 14)</f>
        <v>15</v>
      </c>
      <c r="F13" s="30">
        <f t="shared" si="1"/>
        <v>25.000000049999997</v>
      </c>
      <c r="G13" s="31">
        <f>INDEX(Global_Citizenship, 11, 12)</f>
        <v>20</v>
      </c>
      <c r="H13" s="31">
        <f t="shared" si="2"/>
        <v>25</v>
      </c>
      <c r="I13" s="32">
        <f>INDEX(Community_Challenge, 11, 13)</f>
        <v>22</v>
      </c>
      <c r="J13" s="32">
        <f t="shared" si="3"/>
        <v>27.5</v>
      </c>
      <c r="K13" s="19">
        <f t="shared" si="4"/>
        <v>111.5125</v>
      </c>
      <c r="L13" s="19">
        <f t="shared" si="5"/>
        <v>54.662990196078432</v>
      </c>
      <c r="M13" s="19">
        <f t="shared" si="6"/>
        <v>166.56250004999998</v>
      </c>
      <c r="N13" s="19">
        <f>SUM(PROSIECT!AC13+CYMUNEDOL!O13+DINASYDDIAETH!N13+MENTER!P13)</f>
        <v>4</v>
      </c>
      <c r="O13" s="34" t="str">
        <f t="shared" si="7"/>
        <v>C</v>
      </c>
    </row>
    <row r="14" spans="1:20" x14ac:dyDescent="0.25">
      <c r="A14" s="36" t="str">
        <f>MENTER!A14:B14</f>
        <v>Casey</v>
      </c>
      <c r="B14" s="37"/>
      <c r="C14" s="29">
        <f>INDEX(Individual_Project, 12, 27)</f>
        <v>40</v>
      </c>
      <c r="D14" s="29">
        <f t="shared" si="0"/>
        <v>62.5</v>
      </c>
      <c r="E14" s="30">
        <f>INDEX(Enterprise_Employability, 12, 14)</f>
        <v>12</v>
      </c>
      <c r="F14" s="30">
        <f t="shared" si="1"/>
        <v>20.00000004</v>
      </c>
      <c r="G14" s="31">
        <f>INDEX(Global_Citizenship, 12, 12)</f>
        <v>16</v>
      </c>
      <c r="H14" s="31">
        <f t="shared" si="2"/>
        <v>20</v>
      </c>
      <c r="I14" s="32">
        <f>INDEX(Community_Challenge, 12, 13)</f>
        <v>8</v>
      </c>
      <c r="J14" s="32">
        <f t="shared" si="3"/>
        <v>10</v>
      </c>
      <c r="K14" s="19">
        <f t="shared" si="4"/>
        <v>83.259999999999991</v>
      </c>
      <c r="L14" s="19">
        <f t="shared" si="5"/>
        <v>40.81372549019607</v>
      </c>
      <c r="M14" s="19">
        <f t="shared" si="6"/>
        <v>112.50000004</v>
      </c>
      <c r="N14" s="19">
        <f>SUM(PROSIECT!AC14+CYMUNEDOL!O14+DINASYDDIAETH!N14+MENTER!P14)</f>
        <v>4</v>
      </c>
      <c r="O14" s="34" t="str">
        <f t="shared" si="7"/>
        <v>Pass*</v>
      </c>
    </row>
    <row r="15" spans="1:20" x14ac:dyDescent="0.25">
      <c r="A15" s="36" t="str">
        <f>MENTER!A15:B15</f>
        <v>Kai</v>
      </c>
      <c r="B15" s="37"/>
      <c r="C15" s="29">
        <f>INDEX(Individual_Project, 13, 27)</f>
        <v>37</v>
      </c>
      <c r="D15" s="29">
        <f t="shared" si="0"/>
        <v>57.8125</v>
      </c>
      <c r="E15" s="30">
        <f>INDEX(Enterprise_Employability, 13, 14)</f>
        <v>17</v>
      </c>
      <c r="F15" s="30">
        <f t="shared" si="1"/>
        <v>28.33333339</v>
      </c>
      <c r="G15" s="31">
        <f>INDEX(Global_Citizenship, 13, 12)</f>
        <v>14</v>
      </c>
      <c r="H15" s="31">
        <f t="shared" si="2"/>
        <v>17.5</v>
      </c>
      <c r="I15" s="32">
        <f>INDEX(Community_Challenge, 13, 13)</f>
        <v>10</v>
      </c>
      <c r="J15" s="32">
        <f t="shared" si="3"/>
        <v>12.5</v>
      </c>
      <c r="K15" s="19">
        <f t="shared" si="4"/>
        <v>82.322500000000005</v>
      </c>
      <c r="L15" s="19">
        <f t="shared" si="5"/>
        <v>40.354166666666671</v>
      </c>
      <c r="M15" s="19">
        <f t="shared" si="6"/>
        <v>116.14583339000001</v>
      </c>
      <c r="N15" s="19">
        <f>SUM(PROSIECT!AC15+CYMUNEDOL!O15+DINASYDDIAETH!N15+MENTER!P15)</f>
        <v>4</v>
      </c>
      <c r="O15" s="34" t="str">
        <f t="shared" si="7"/>
        <v>Pass*</v>
      </c>
    </row>
    <row r="16" spans="1:20" x14ac:dyDescent="0.25">
      <c r="A16" s="36" t="str">
        <f>MENTER!A16:B16</f>
        <v>Ethan</v>
      </c>
      <c r="B16" s="37"/>
      <c r="C16" s="29">
        <f>INDEX(Individual_Project, 14, 27)</f>
        <v>40</v>
      </c>
      <c r="D16" s="29">
        <f t="shared" si="0"/>
        <v>62.5</v>
      </c>
      <c r="E16" s="30">
        <f>INDEX(Enterprise_Employability, 14, 14)</f>
        <v>27</v>
      </c>
      <c r="F16" s="30">
        <f t="shared" si="1"/>
        <v>45.00000009</v>
      </c>
      <c r="G16" s="31">
        <f>INDEX(Global_Citizenship, 14, 12)</f>
        <v>29</v>
      </c>
      <c r="H16" s="31">
        <f t="shared" si="2"/>
        <v>36.25</v>
      </c>
      <c r="I16" s="32">
        <f>INDEX(Community_Challenge, 14, 13)</f>
        <v>18</v>
      </c>
      <c r="J16" s="32">
        <f t="shared" si="3"/>
        <v>22.5</v>
      </c>
      <c r="K16" s="19">
        <f t="shared" si="4"/>
        <v>122.31</v>
      </c>
      <c r="L16" s="19">
        <f t="shared" si="5"/>
        <v>59.955882352941181</v>
      </c>
      <c r="M16" s="19">
        <f t="shared" si="6"/>
        <v>166.25000009000001</v>
      </c>
      <c r="N16" s="19">
        <f>SUM(PROSIECT!AC16+CYMUNEDOL!O16+DINASYDDIAETH!N16+MENTER!P16)</f>
        <v>4</v>
      </c>
      <c r="O16" s="34" t="str">
        <f t="shared" si="7"/>
        <v>C</v>
      </c>
    </row>
    <row r="17" spans="1:15" x14ac:dyDescent="0.25">
      <c r="A17" s="36" t="str">
        <f>MENTER!A17:B17</f>
        <v>Lou</v>
      </c>
      <c r="B17" s="37"/>
      <c r="C17" s="29">
        <f>INDEX(Individual_Project, 15, 27)</f>
        <v>43</v>
      </c>
      <c r="D17" s="29">
        <f t="shared" si="0"/>
        <v>67.1875</v>
      </c>
      <c r="E17" s="30">
        <f>INDEX(Enterprise_Employability, 15, 14)</f>
        <v>20</v>
      </c>
      <c r="F17" s="30">
        <f t="shared" si="1"/>
        <v>33.333333400000001</v>
      </c>
      <c r="G17" s="31">
        <f>INDEX(Global_Citizenship, 15, 12)</f>
        <v>6</v>
      </c>
      <c r="H17" s="31">
        <f t="shared" si="2"/>
        <v>7.5</v>
      </c>
      <c r="I17" s="32">
        <f>INDEX(Community_Challenge, 15, 13)</f>
        <v>17</v>
      </c>
      <c r="J17" s="32">
        <f t="shared" si="3"/>
        <v>21.25</v>
      </c>
      <c r="K17" s="19">
        <f t="shared" si="4"/>
        <v>78.487499999999983</v>
      </c>
      <c r="L17" s="19">
        <f t="shared" si="5"/>
        <v>38.474264705882341</v>
      </c>
      <c r="M17" s="19">
        <f t="shared" si="6"/>
        <v>129.27083340000001</v>
      </c>
      <c r="N17" s="19">
        <f>SUM(PROSIECT!AC17+CYMUNEDOL!O17+DINASYDDIAETH!N17+MENTER!P17)</f>
        <v>4</v>
      </c>
      <c r="O17" s="34" t="str">
        <f t="shared" si="7"/>
        <v>C</v>
      </c>
    </row>
    <row r="18" spans="1:15" x14ac:dyDescent="0.25">
      <c r="A18" s="36" t="s">
        <v>41</v>
      </c>
      <c r="B18" s="37"/>
      <c r="C18" s="29">
        <f>INDEX(Individual_Project, 16, 27)</f>
        <v>59</v>
      </c>
      <c r="D18" s="29">
        <f t="shared" si="0"/>
        <v>92.1875</v>
      </c>
      <c r="E18" s="30">
        <f>INDEX(Enterprise_Employability, 16, 14)</f>
        <v>24</v>
      </c>
      <c r="F18" s="30">
        <f t="shared" si="1"/>
        <v>40.00000008</v>
      </c>
      <c r="G18" s="31">
        <f>INDEX(Global_Citizenship, 16, 12)</f>
        <v>19</v>
      </c>
      <c r="H18" s="31">
        <f t="shared" si="2"/>
        <v>23.75</v>
      </c>
      <c r="I18" s="32">
        <f>INDEX(Community_Challenge, 16, 13)</f>
        <v>18</v>
      </c>
      <c r="J18" s="32">
        <f t="shared" si="3"/>
        <v>22.5</v>
      </c>
      <c r="K18" s="19">
        <f t="shared" si="4"/>
        <v>122.10750000000002</v>
      </c>
      <c r="L18" s="19">
        <f t="shared" si="5"/>
        <v>59.856617647058826</v>
      </c>
      <c r="M18" s="19">
        <f t="shared" si="6"/>
        <v>178.43750008000001</v>
      </c>
      <c r="N18" s="19">
        <f>SUM(PROSIECT!AC18+CYMUNEDOL!O18+DINASYDDIAETH!N18+MENTER!P18)</f>
        <v>4</v>
      </c>
      <c r="O18" s="35" t="str">
        <f t="shared" si="7"/>
        <v>C</v>
      </c>
    </row>
    <row r="19" spans="1:15" x14ac:dyDescent="0.25">
      <c r="A19" s="36"/>
      <c r="B19" s="37"/>
      <c r="C19" s="29">
        <f>INDEX(Individual_Project, 17, 27)</f>
        <v>0</v>
      </c>
      <c r="D19" s="29">
        <f t="shared" si="0"/>
        <v>0</v>
      </c>
      <c r="E19" s="30">
        <f>INDEX(Enterprise_Employability, 17, 14)</f>
        <v>0</v>
      </c>
      <c r="F19" s="30">
        <f t="shared" si="1"/>
        <v>0</v>
      </c>
      <c r="G19" s="31">
        <f>INDEX(Global_Citizenship, 17, 12)</f>
        <v>0</v>
      </c>
      <c r="H19" s="31">
        <f t="shared" si="2"/>
        <v>0</v>
      </c>
      <c r="I19" s="32">
        <f>INDEX(Community_Challenge, 17, 13)</f>
        <v>0</v>
      </c>
      <c r="J19" s="32">
        <f t="shared" si="3"/>
        <v>0</v>
      </c>
      <c r="K19" s="19">
        <f t="shared" si="4"/>
        <v>0</v>
      </c>
      <c r="L19" s="19">
        <f t="shared" si="5"/>
        <v>0</v>
      </c>
      <c r="M19" s="19">
        <f t="shared" si="6"/>
        <v>0</v>
      </c>
      <c r="N19" s="19">
        <f>SUM(PROSIECT!AC19+CYMUNEDOL!O19+DINASYDDIAETH!N19+MENTER!P19)</f>
        <v>0</v>
      </c>
      <c r="O19" s="28"/>
    </row>
    <row r="20" spans="1:15" x14ac:dyDescent="0.25">
      <c r="A20" s="36"/>
      <c r="B20" s="37"/>
      <c r="C20" s="29">
        <f>INDEX(Individual_Project, 18, 27)</f>
        <v>0</v>
      </c>
      <c r="D20" s="29">
        <f t="shared" si="0"/>
        <v>0</v>
      </c>
      <c r="E20" s="30">
        <f>INDEX(Enterprise_Employability, 18, 14)</f>
        <v>0</v>
      </c>
      <c r="F20" s="30">
        <f t="shared" si="1"/>
        <v>0</v>
      </c>
      <c r="G20" s="31">
        <f>INDEX(Global_Citizenship, 18, 12)</f>
        <v>0</v>
      </c>
      <c r="H20" s="31">
        <f t="shared" si="2"/>
        <v>0</v>
      </c>
      <c r="I20" s="32">
        <f>INDEX(Community_Challenge, 18, 13)</f>
        <v>0</v>
      </c>
      <c r="J20" s="32">
        <f t="shared" si="3"/>
        <v>0</v>
      </c>
      <c r="K20" s="19">
        <f t="shared" si="4"/>
        <v>0</v>
      </c>
      <c r="L20" s="19">
        <f t="shared" si="5"/>
        <v>0</v>
      </c>
      <c r="M20" s="19">
        <f t="shared" si="6"/>
        <v>0</v>
      </c>
      <c r="N20" s="19">
        <f>SUM(PROSIECT!AC20+CYMUNEDOL!O20+DINASYDDIAETH!N20+MENTER!P20)</f>
        <v>0</v>
      </c>
      <c r="O20" s="28"/>
    </row>
    <row r="21" spans="1:15" x14ac:dyDescent="0.25">
      <c r="A21" s="36"/>
      <c r="B21" s="37"/>
      <c r="C21" s="29">
        <f>INDEX(Individual_Project, 19, 27)</f>
        <v>0</v>
      </c>
      <c r="D21" s="29">
        <f t="shared" si="0"/>
        <v>0</v>
      </c>
      <c r="E21" s="30">
        <f>INDEX(Enterprise_Employability, 19, 14)</f>
        <v>0</v>
      </c>
      <c r="F21" s="30">
        <f t="shared" si="1"/>
        <v>0</v>
      </c>
      <c r="G21" s="31">
        <f>INDEX(Global_Citizenship, 19, 12)</f>
        <v>0</v>
      </c>
      <c r="H21" s="31">
        <f t="shared" si="2"/>
        <v>0</v>
      </c>
      <c r="I21" s="32">
        <f>INDEX(Community_Challenge, 19, 13)</f>
        <v>0</v>
      </c>
      <c r="J21" s="32">
        <f t="shared" si="3"/>
        <v>0</v>
      </c>
      <c r="K21" s="19">
        <f t="shared" si="4"/>
        <v>0</v>
      </c>
      <c r="L21" s="19">
        <f t="shared" si="5"/>
        <v>0</v>
      </c>
      <c r="M21" s="19">
        <f t="shared" si="6"/>
        <v>0</v>
      </c>
      <c r="N21" s="19">
        <f>SUM(PROSIECT!AC21+CYMUNEDOL!O21+DINASYDDIAETH!N21+MENTER!P21)</f>
        <v>0</v>
      </c>
      <c r="O21" s="28"/>
    </row>
    <row r="22" spans="1:15" x14ac:dyDescent="0.25">
      <c r="A22" s="36"/>
      <c r="B22" s="37"/>
      <c r="C22" s="29">
        <f>INDEX(Individual_Project, 20, 27)</f>
        <v>0</v>
      </c>
      <c r="D22" s="29">
        <f t="shared" si="0"/>
        <v>0</v>
      </c>
      <c r="E22" s="30">
        <f>INDEX(Enterprise_Employability, 20, 14)</f>
        <v>0</v>
      </c>
      <c r="F22" s="30">
        <f t="shared" si="1"/>
        <v>0</v>
      </c>
      <c r="G22" s="31">
        <f>INDEX(Global_Citizenship, 20, 12)</f>
        <v>0</v>
      </c>
      <c r="H22" s="31">
        <f t="shared" si="2"/>
        <v>0</v>
      </c>
      <c r="I22" s="32">
        <f>INDEX(Community_Challenge, 20, 13)</f>
        <v>0</v>
      </c>
      <c r="J22" s="32">
        <f t="shared" si="3"/>
        <v>0</v>
      </c>
      <c r="K22" s="19">
        <f t="shared" si="4"/>
        <v>0</v>
      </c>
      <c r="L22" s="19">
        <f t="shared" si="5"/>
        <v>0</v>
      </c>
      <c r="M22" s="19">
        <f t="shared" si="6"/>
        <v>0</v>
      </c>
      <c r="N22" s="19">
        <f>SUM(PROSIECT!AC22+CYMUNEDOL!O22+DINASYDDIAETH!N22+MENTER!P22)</f>
        <v>0</v>
      </c>
      <c r="O22" s="28"/>
    </row>
    <row r="23" spans="1:15" x14ac:dyDescent="0.25">
      <c r="A23" s="36"/>
      <c r="B23" s="37"/>
      <c r="C23" s="29">
        <f>INDEX(Individual_Project, 21, 27)</f>
        <v>0</v>
      </c>
      <c r="D23" s="29">
        <f t="shared" si="0"/>
        <v>0</v>
      </c>
      <c r="E23" s="30">
        <f>INDEX(Enterprise_Employability, 21, 14)</f>
        <v>0</v>
      </c>
      <c r="F23" s="30">
        <f t="shared" si="1"/>
        <v>0</v>
      </c>
      <c r="G23" s="31">
        <f>INDEX(Global_Citizenship, 21, 12)</f>
        <v>0</v>
      </c>
      <c r="H23" s="31">
        <f t="shared" si="2"/>
        <v>0</v>
      </c>
      <c r="I23" s="32">
        <f>INDEX(Community_Challenge, 21, 13)</f>
        <v>0</v>
      </c>
      <c r="J23" s="32">
        <f t="shared" si="3"/>
        <v>0</v>
      </c>
      <c r="K23" s="19">
        <f t="shared" si="4"/>
        <v>0</v>
      </c>
      <c r="L23" s="19">
        <f t="shared" si="5"/>
        <v>0</v>
      </c>
      <c r="M23" s="19">
        <f t="shared" si="6"/>
        <v>0</v>
      </c>
      <c r="N23" s="19">
        <f>SUM(PROSIECT!AC23+CYMUNEDOL!O23+DINASYDDIAETH!N23+MENTER!P23)</f>
        <v>0</v>
      </c>
      <c r="O23" s="28"/>
    </row>
    <row r="24" spans="1:15" x14ac:dyDescent="0.25">
      <c r="A24" s="36"/>
      <c r="B24" s="37"/>
      <c r="C24" s="29">
        <f>INDEX(Individual_Project, 22, 27)</f>
        <v>0</v>
      </c>
      <c r="D24" s="29">
        <f t="shared" si="0"/>
        <v>0</v>
      </c>
      <c r="E24" s="30">
        <f>INDEX(Enterprise_Employability, 22, 14)</f>
        <v>0</v>
      </c>
      <c r="F24" s="30">
        <f t="shared" si="1"/>
        <v>0</v>
      </c>
      <c r="G24" s="31">
        <f>INDEX(Global_Citizenship, 22, 12)</f>
        <v>0</v>
      </c>
      <c r="H24" s="31">
        <f t="shared" si="2"/>
        <v>0</v>
      </c>
      <c r="I24" s="32">
        <f>INDEX(Community_Challenge, 22, 13)</f>
        <v>0</v>
      </c>
      <c r="J24" s="32">
        <f t="shared" si="3"/>
        <v>0</v>
      </c>
      <c r="K24" s="19">
        <f t="shared" si="4"/>
        <v>0</v>
      </c>
      <c r="L24" s="19">
        <f t="shared" si="5"/>
        <v>0</v>
      </c>
      <c r="M24" s="19">
        <f t="shared" si="6"/>
        <v>0</v>
      </c>
      <c r="N24" s="19">
        <f>SUM(PROSIECT!AC24+CYMUNEDOL!O24+DINASYDDIAETH!N24+MENTER!P24)</f>
        <v>0</v>
      </c>
      <c r="O24" s="28"/>
    </row>
    <row r="25" spans="1:15" x14ac:dyDescent="0.25">
      <c r="A25" s="36"/>
      <c r="B25" s="37"/>
      <c r="C25" s="29">
        <f>INDEX(Individual_Project, 23, 27)</f>
        <v>0</v>
      </c>
      <c r="D25" s="29">
        <f t="shared" si="0"/>
        <v>0</v>
      </c>
      <c r="E25" s="30">
        <f>INDEX(Enterprise_Employability, 23, 14)</f>
        <v>0</v>
      </c>
      <c r="F25" s="30">
        <f t="shared" si="1"/>
        <v>0</v>
      </c>
      <c r="G25" s="31">
        <f>INDEX(Global_Citizenship, 23, 12)</f>
        <v>0</v>
      </c>
      <c r="H25" s="31">
        <f t="shared" si="2"/>
        <v>0</v>
      </c>
      <c r="I25" s="32">
        <f>INDEX(Community_Challenge, 23, 13)</f>
        <v>0</v>
      </c>
      <c r="J25" s="32">
        <f t="shared" si="3"/>
        <v>0</v>
      </c>
      <c r="K25" s="19">
        <f t="shared" si="4"/>
        <v>0</v>
      </c>
      <c r="L25" s="19">
        <f t="shared" si="5"/>
        <v>0</v>
      </c>
      <c r="M25" s="19">
        <f t="shared" si="6"/>
        <v>0</v>
      </c>
      <c r="N25" s="19">
        <f>SUM(PROSIECT!AC25+CYMUNEDOL!O25+DINASYDDIAETH!N25+MENTER!P25)</f>
        <v>0</v>
      </c>
      <c r="O25" s="28"/>
    </row>
    <row r="26" spans="1:15" x14ac:dyDescent="0.25">
      <c r="A26" s="36"/>
      <c r="B26" s="37"/>
      <c r="C26" s="29">
        <f>INDEX(Individual_Project, 24, 27)</f>
        <v>0</v>
      </c>
      <c r="D26" s="29">
        <f t="shared" si="0"/>
        <v>0</v>
      </c>
      <c r="E26" s="30">
        <f>INDEX(Enterprise_Employability, 24, 14)</f>
        <v>0</v>
      </c>
      <c r="F26" s="30">
        <f t="shared" si="1"/>
        <v>0</v>
      </c>
      <c r="G26" s="31">
        <f>INDEX(Global_Citizenship, 24, 12)</f>
        <v>0</v>
      </c>
      <c r="H26" s="31">
        <f t="shared" si="2"/>
        <v>0</v>
      </c>
      <c r="I26" s="32">
        <f>INDEX(Community_Challenge, 24, 13)</f>
        <v>0</v>
      </c>
      <c r="J26" s="32">
        <f t="shared" si="3"/>
        <v>0</v>
      </c>
      <c r="K26" s="19">
        <f t="shared" si="4"/>
        <v>0</v>
      </c>
      <c r="L26" s="19">
        <f t="shared" si="5"/>
        <v>0</v>
      </c>
      <c r="M26" s="19">
        <f t="shared" si="6"/>
        <v>0</v>
      </c>
      <c r="N26" s="19">
        <f>SUM(PROSIECT!AC26+CYMUNEDOL!O26+DINASYDDIAETH!N26+MENTER!P26)</f>
        <v>0</v>
      </c>
      <c r="O26" s="28"/>
    </row>
    <row r="27" spans="1:15" x14ac:dyDescent="0.25">
      <c r="A27" s="36"/>
      <c r="B27" s="37"/>
      <c r="C27" s="29">
        <f>INDEX(Individual_Project, 25, 27)</f>
        <v>0</v>
      </c>
      <c r="D27" s="29">
        <f t="shared" si="0"/>
        <v>0</v>
      </c>
      <c r="E27" s="30">
        <f>INDEX(Enterprise_Employability, 25, 14)</f>
        <v>0</v>
      </c>
      <c r="F27" s="30">
        <f t="shared" si="1"/>
        <v>0</v>
      </c>
      <c r="G27" s="31">
        <f>INDEX(Global_Citizenship, 25, 12)</f>
        <v>0</v>
      </c>
      <c r="H27" s="31">
        <f t="shared" si="2"/>
        <v>0</v>
      </c>
      <c r="I27" s="32">
        <f>INDEX(Community_Challenge, 25, 13)</f>
        <v>0</v>
      </c>
      <c r="J27" s="32">
        <f t="shared" si="3"/>
        <v>0</v>
      </c>
      <c r="K27" s="19">
        <f t="shared" si="4"/>
        <v>0</v>
      </c>
      <c r="L27" s="19">
        <f t="shared" si="5"/>
        <v>0</v>
      </c>
      <c r="M27" s="19">
        <f t="shared" si="6"/>
        <v>0</v>
      </c>
      <c r="N27" s="19">
        <f>SUM(PROSIECT!AC27+CYMUNEDOL!O27+DINASYDDIAETH!N27+MENTER!P27)</f>
        <v>0</v>
      </c>
      <c r="O27" s="28"/>
    </row>
    <row r="28" spans="1:15" x14ac:dyDescent="0.25">
      <c r="A28" s="36"/>
      <c r="B28" s="37"/>
      <c r="C28" s="29">
        <f>INDEX(Individual_Project, 26, 27)</f>
        <v>0</v>
      </c>
      <c r="D28" s="29">
        <f t="shared" si="0"/>
        <v>0</v>
      </c>
      <c r="E28" s="30">
        <f>INDEX(Enterprise_Employability, 26, 14)</f>
        <v>0</v>
      </c>
      <c r="F28" s="30">
        <f t="shared" si="1"/>
        <v>0</v>
      </c>
      <c r="G28" s="31">
        <f>INDEX(Global_Citizenship, 26, 12)</f>
        <v>0</v>
      </c>
      <c r="H28" s="31">
        <f t="shared" si="2"/>
        <v>0</v>
      </c>
      <c r="I28" s="32">
        <f>INDEX(Community_Challenge, 26, 13)</f>
        <v>0</v>
      </c>
      <c r="J28" s="32">
        <f t="shared" si="3"/>
        <v>0</v>
      </c>
      <c r="K28" s="19">
        <f t="shared" si="4"/>
        <v>0</v>
      </c>
      <c r="L28" s="19">
        <f t="shared" si="5"/>
        <v>0</v>
      </c>
      <c r="M28" s="19">
        <f t="shared" si="6"/>
        <v>0</v>
      </c>
      <c r="N28" s="19">
        <f>SUM(PROSIECT!AC28+CYMUNEDOL!O28+DINASYDDIAETH!N28+MENTER!P28)</f>
        <v>0</v>
      </c>
      <c r="O28" s="28"/>
    </row>
    <row r="29" spans="1:15" x14ac:dyDescent="0.25">
      <c r="A29" s="36"/>
      <c r="B29" s="37"/>
      <c r="C29" s="29">
        <f>INDEX(Individual_Project, 27, 27)</f>
        <v>0</v>
      </c>
      <c r="D29" s="29">
        <f t="shared" si="0"/>
        <v>0</v>
      </c>
      <c r="E29" s="30">
        <f>INDEX(Enterprise_Employability, 27, 14)</f>
        <v>0</v>
      </c>
      <c r="F29" s="30">
        <f t="shared" si="1"/>
        <v>0</v>
      </c>
      <c r="G29" s="31">
        <f>INDEX(Global_Citizenship, 27, 12)</f>
        <v>0</v>
      </c>
      <c r="H29" s="31">
        <f t="shared" si="2"/>
        <v>0</v>
      </c>
      <c r="I29" s="32">
        <f>INDEX(Community_Challenge, 27, 13)</f>
        <v>0</v>
      </c>
      <c r="J29" s="32">
        <f t="shared" si="3"/>
        <v>0</v>
      </c>
      <c r="K29" s="19">
        <f t="shared" si="4"/>
        <v>0</v>
      </c>
      <c r="L29" s="19">
        <f t="shared" si="5"/>
        <v>0</v>
      </c>
      <c r="M29" s="19">
        <f t="shared" si="6"/>
        <v>0</v>
      </c>
      <c r="N29" s="19">
        <f>SUM(PROSIECT!AC29+CYMUNEDOL!O29+DINASYDDIAETH!N29+MENTER!P29)</f>
        <v>0</v>
      </c>
      <c r="O29" s="28"/>
    </row>
    <row r="30" spans="1:15" x14ac:dyDescent="0.25">
      <c r="A30" s="36"/>
      <c r="B30" s="37"/>
      <c r="C30" s="29">
        <f>INDEX(Individual_Project, 28, 27)</f>
        <v>0</v>
      </c>
      <c r="D30" s="29">
        <f t="shared" si="0"/>
        <v>0</v>
      </c>
      <c r="E30" s="30">
        <f>INDEX(Enterprise_Employability, 28, 14)</f>
        <v>0</v>
      </c>
      <c r="F30" s="30">
        <f t="shared" si="1"/>
        <v>0</v>
      </c>
      <c r="G30" s="31">
        <f>INDEX(Global_Citizenship, 28, 12)</f>
        <v>0</v>
      </c>
      <c r="H30" s="31">
        <f t="shared" si="2"/>
        <v>0</v>
      </c>
      <c r="I30" s="32">
        <f>INDEX(Community_Challenge, 28, 13)</f>
        <v>0</v>
      </c>
      <c r="J30" s="32">
        <f t="shared" si="3"/>
        <v>0</v>
      </c>
      <c r="K30" s="19">
        <f t="shared" si="4"/>
        <v>0</v>
      </c>
      <c r="L30" s="19">
        <f t="shared" si="5"/>
        <v>0</v>
      </c>
      <c r="M30" s="19">
        <f t="shared" si="6"/>
        <v>0</v>
      </c>
      <c r="N30" s="19">
        <f>SUM(PROSIECT!AC30+CYMUNEDOL!O30+DINASYDDIAETH!N30+MENTER!P30)</f>
        <v>0</v>
      </c>
      <c r="O30" s="28"/>
    </row>
    <row r="31" spans="1:15" x14ac:dyDescent="0.25">
      <c r="J31" s="22"/>
    </row>
    <row r="32" spans="1:15" x14ac:dyDescent="0.25">
      <c r="J32" s="22"/>
    </row>
    <row r="34" spans="1:3" x14ac:dyDescent="0.25">
      <c r="A34" t="s">
        <v>7</v>
      </c>
      <c r="B34" s="24"/>
      <c r="C34" t="s">
        <v>8</v>
      </c>
    </row>
    <row r="35" spans="1:3" x14ac:dyDescent="0.25">
      <c r="B35" s="23"/>
      <c r="C35" t="s">
        <v>9</v>
      </c>
    </row>
    <row r="36" spans="1:3" x14ac:dyDescent="0.25">
      <c r="B36" s="25"/>
      <c r="C36" t="s">
        <v>10</v>
      </c>
    </row>
    <row r="37" spans="1:3" x14ac:dyDescent="0.25">
      <c r="B37" s="26"/>
      <c r="C37" t="s">
        <v>11</v>
      </c>
    </row>
    <row r="38" spans="1:3" x14ac:dyDescent="0.25">
      <c r="B38" s="1"/>
      <c r="C38" t="s">
        <v>12</v>
      </c>
    </row>
  </sheetData>
  <mergeCells count="34">
    <mergeCell ref="C1:J1"/>
    <mergeCell ref="A2:B2"/>
    <mergeCell ref="C2:D2"/>
    <mergeCell ref="E2:F2"/>
    <mergeCell ref="G2:H2"/>
    <mergeCell ref="I2:J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30:B30"/>
    <mergeCell ref="A23:B23"/>
    <mergeCell ref="A24:B24"/>
    <mergeCell ref="A25:B25"/>
    <mergeCell ref="A26:B26"/>
    <mergeCell ref="A27:B27"/>
  </mergeCells>
  <conditionalFormatting sqref="F4:F30">
    <cfRule type="cellIs" dxfId="19" priority="16" operator="lessThan">
      <formula>12</formula>
    </cfRule>
    <cfRule type="cellIs" dxfId="18" priority="17" operator="between">
      <formula>12</formula>
      <formula>23</formula>
    </cfRule>
    <cfRule type="cellIs" dxfId="17" priority="18" operator="between">
      <formula>24</formula>
      <formula>35</formula>
    </cfRule>
    <cfRule type="cellIs" dxfId="16" priority="19" operator="between">
      <formula>36</formula>
      <formula>47</formula>
    </cfRule>
    <cfRule type="cellIs" dxfId="15" priority="20" operator="greaterThan">
      <formula>48</formula>
    </cfRule>
  </conditionalFormatting>
  <conditionalFormatting sqref="D4:D30">
    <cfRule type="cellIs" dxfId="14" priority="11" operator="lessThan">
      <formula>29</formula>
    </cfRule>
    <cfRule type="cellIs" dxfId="13" priority="12" operator="between">
      <formula>30</formula>
      <formula>59</formula>
    </cfRule>
    <cfRule type="cellIs" dxfId="12" priority="13" operator="between">
      <formula>60</formula>
      <formula>89</formula>
    </cfRule>
    <cfRule type="cellIs" dxfId="11" priority="14" operator="between">
      <formula>90</formula>
      <formula>119</formula>
    </cfRule>
    <cfRule type="cellIs" dxfId="10" priority="15" operator="greaterThan">
      <formula>120</formula>
    </cfRule>
  </conditionalFormatting>
  <conditionalFormatting sqref="H4:H30">
    <cfRule type="cellIs" dxfId="9" priority="6" operator="lessThan">
      <formula>8</formula>
    </cfRule>
    <cfRule type="cellIs" dxfId="8" priority="7" operator="between">
      <formula>9</formula>
      <formula>17</formula>
    </cfRule>
    <cfRule type="cellIs" dxfId="7" priority="8" operator="between">
      <formula>18</formula>
      <formula>26</formula>
    </cfRule>
    <cfRule type="cellIs" dxfId="6" priority="9" operator="between">
      <formula>27</formula>
      <formula>35</formula>
    </cfRule>
    <cfRule type="cellIs" dxfId="5" priority="10" operator="greaterThan">
      <formula>36</formula>
    </cfRule>
  </conditionalFormatting>
  <conditionalFormatting sqref="J4:J30">
    <cfRule type="cellIs" dxfId="4" priority="1" operator="lessThan">
      <formula>8</formula>
    </cfRule>
    <cfRule type="cellIs" dxfId="3" priority="2" operator="between">
      <formula>9</formula>
      <formula>17</formula>
    </cfRule>
    <cfRule type="cellIs" dxfId="2" priority="3" operator="between">
      <formula>18</formula>
      <formula>26</formula>
    </cfRule>
    <cfRule type="cellIs" dxfId="1" priority="4" operator="between">
      <formula>27</formula>
      <formula>35</formula>
    </cfRule>
    <cfRule type="cellIs" dxfId="0" priority="5" operator="greaterThan">
      <formula>36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MENTER</vt:lpstr>
      <vt:lpstr>DINASYDDIAETH</vt:lpstr>
      <vt:lpstr>CYMUNEDOL</vt:lpstr>
      <vt:lpstr>PROSIECT</vt:lpstr>
      <vt:lpstr>CRYNODEB DISGYBL</vt:lpstr>
      <vt:lpstr>Band</vt:lpstr>
      <vt:lpstr>Community_Challenge</vt:lpstr>
      <vt:lpstr>Enterprise_Employability</vt:lpstr>
      <vt:lpstr>Global_Citizenship</vt:lpstr>
      <vt:lpstr>Individual_Project</vt:lpstr>
      <vt:lpstr>Mark</vt:lpstr>
      <vt:lpstr>Name</vt:lpstr>
      <vt:lpstr>Names</vt:lpstr>
    </vt:vector>
  </TitlesOfParts>
  <Company>EDU-SCCM1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Kent</dc:creator>
  <cp:lastModifiedBy>Jarvis Gwenno (GwE)</cp:lastModifiedBy>
  <dcterms:created xsi:type="dcterms:W3CDTF">2015-06-12T14:38:45Z</dcterms:created>
  <dcterms:modified xsi:type="dcterms:W3CDTF">2016-03-10T18:23:44Z</dcterms:modified>
</cp:coreProperties>
</file>